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825" activeTab="0"/>
  </bookViews>
  <sheets>
    <sheet name="1Önk" sheetId="1" r:id="rId1"/>
    <sheet name="2.működési" sheetId="2" r:id="rId2"/>
    <sheet name="2.felhalm" sheetId="3" r:id="rId3"/>
    <sheet name="3.PH " sheetId="4" r:id="rId4"/>
    <sheet name="4.iskola" sheetId="5" r:id="rId5"/>
    <sheet name="isk-szak" sheetId="6" r:id="rId6"/>
    <sheet name="5.óvoda" sheetId="7" r:id="rId7"/>
    <sheet name="6.könyvtár" sheetId="8" r:id="rId8"/>
    <sheet name="7.normatív" sheetId="9" r:id="rId9"/>
    <sheet name="8.beruházás" sheetId="10" r:id="rId10"/>
    <sheet name="9.felújítás " sheetId="11" r:id="rId11"/>
    <sheet name="10.kiadei" sheetId="12" r:id="rId12"/>
    <sheet name="11.többéveskihat" sheetId="13" r:id="rId13"/>
    <sheet name="12. támszerv" sheetId="14" r:id="rId14"/>
    <sheet name="13.szakfeladat" sheetId="15" r:id="rId15"/>
    <sheet name=" 14.  2 előre" sheetId="16" r:id="rId16"/>
    <sheet name="15.eifelhaszn" sheetId="17" r:id="rId17"/>
    <sheet name="16.ütemterv" sheetId="18" r:id="rId18"/>
    <sheet name="17. int.fin." sheetId="19" r:id="rId19"/>
    <sheet name="18.tartállomány" sheetId="20" r:id="rId20"/>
    <sheet name="19.szociális juttatások" sheetId="21" r:id="rId21"/>
    <sheet name="20. Tartalék" sheetId="22" r:id="rId22"/>
    <sheet name="21.közv tám" sheetId="23" r:id="rId23"/>
  </sheets>
  <definedNames/>
  <calcPr fullCalcOnLoad="1"/>
</workbook>
</file>

<file path=xl/sharedStrings.xml><?xml version="1.0" encoding="utf-8"?>
<sst xmlns="http://schemas.openxmlformats.org/spreadsheetml/2006/main" count="1498" uniqueCount="569">
  <si>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</si>
  <si>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</si>
  <si>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</si>
  <si>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</si>
  <si>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</si>
  <si>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</si>
  <si>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</si>
  <si>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</si>
  <si>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</si>
  <si>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</si>
  <si>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</si>
  <si>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</si>
  <si>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</si>
  <si>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</si>
  <si>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</si>
  <si>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</si>
  <si>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</si>
  <si>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</si>
  <si>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</si>
  <si>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</si>
  <si>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</si>
  <si>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</si>
  <si>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</si>
  <si>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</si>
  <si>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</si>
  <si>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</si>
  <si>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</si>
  <si>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</si>
  <si>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</si>
  <si>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</si>
  <si>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</si>
  <si>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</si>
  <si>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</si>
  <si>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</si>
  <si>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</si>
  <si>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</si>
  <si>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Összesen:</t>
  </si>
  <si>
    <t>Ezer forintban !</t>
  </si>
  <si>
    <t>Bevételek</t>
  </si>
  <si>
    <t>EU támogatás</t>
  </si>
  <si>
    <t>Kiadások</t>
  </si>
  <si>
    <t>Dologi jellegű kiadások</t>
  </si>
  <si>
    <t>Általános tartalék</t>
  </si>
  <si>
    <t>Céltartalék</t>
  </si>
  <si>
    <t>Egyéb kiadások</t>
  </si>
  <si>
    <t>Átvett pénzeszközök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</si>
  <si>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</si>
  <si>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</si>
  <si>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</si>
  <si>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</si>
  <si>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</si>
  <si>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ÖSSZESEN:</t>
  </si>
  <si>
    <t>II. Tőkejellegű bevételek és kiadások mérlege
(Önkormányzati szinten)</t>
  </si>
  <si>
    <t>Beruházás  megnevezése</t>
  </si>
  <si>
    <t>Teljes költség</t>
  </si>
  <si>
    <t>Kivitelezés kezdési és befejezési éve</t>
  </si>
  <si>
    <t>Felújítás  megnevezése</t>
  </si>
  <si>
    <t>Közvilágítási feladatok</t>
  </si>
  <si>
    <t>Kiadás vonzata évenként</t>
  </si>
  <si>
    <t>Sor-
szám</t>
  </si>
  <si>
    <t>Működési célú hiteltörlesztés (tőke+kamat)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</si>
  <si>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</si>
  <si>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</si>
  <si>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</si>
  <si>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</si>
  <si>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</si>
  <si>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</si>
  <si>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</si>
  <si>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</si>
  <si>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</si>
  <si>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</si>
  <si>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</si>
  <si>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</si>
  <si>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</si>
  <si>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</si>
  <si>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</si>
  <si>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Költségvetési szerv neve:</t>
  </si>
  <si>
    <t>Költségvetési szerv számlaszáma:</t>
  </si>
  <si>
    <t>Egyéb tartozásállomány</t>
  </si>
  <si>
    <t>költségvetési szerv vezetője</t>
  </si>
  <si>
    <t>Hitelek, kölcsönök bevételei</t>
  </si>
  <si>
    <t>Tárgyi eszközök, immateriális javak értékesítése</t>
  </si>
  <si>
    <t>Pénzügyi befektetések bevételei</t>
  </si>
  <si>
    <t xml:space="preserve">Forráshiány </t>
  </si>
  <si>
    <t>Felújítás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</si>
  <si>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</si>
  <si>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</si>
  <si>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</si>
  <si>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</si>
  <si>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</si>
  <si>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</si>
  <si>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>Egyéb folyó kiadások</t>
  </si>
  <si>
    <t>Működési bevételek</t>
  </si>
  <si>
    <t>Támogatások</t>
  </si>
  <si>
    <t>Felhalmozási és tőkejellegű bev.</t>
  </si>
  <si>
    <t>…………………………………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</si>
  <si>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</si>
  <si>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</si>
  <si>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</si>
  <si>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</si>
  <si>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</si>
  <si>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</si>
  <si>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</si>
  <si>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</si>
  <si>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</si>
  <si>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</si>
  <si>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</si>
  <si>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</si>
  <si>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8.1.</t>
  </si>
  <si>
    <t>8.2.</t>
  </si>
  <si>
    <t>Kiegészítő támogatás</t>
  </si>
  <si>
    <t>OEP-től átvett pénzeszköz</t>
  </si>
  <si>
    <t>Elkülönített állami pénzalapoktól átvett pénzeszköz</t>
  </si>
  <si>
    <t>7.1.</t>
  </si>
  <si>
    <t>I. Önkormányzat működési bevételei (2+3)</t>
  </si>
  <si>
    <t>VI. Finanszírozási bevételek (8.1+8.2)</t>
  </si>
  <si>
    <t>FOLYÓ BEVÉTELEK ÖSSZESEN: (1+4+5+6+7+8)</t>
  </si>
  <si>
    <t>BEVÉTELEK ÖSSZESEN: (9+10+11+12)</t>
  </si>
  <si>
    <t>1.1.</t>
  </si>
  <si>
    <t>1.2.</t>
  </si>
  <si>
    <t>1.3.</t>
  </si>
  <si>
    <t>1.4.</t>
  </si>
  <si>
    <t>2.1.</t>
  </si>
  <si>
    <t>2.2.</t>
  </si>
  <si>
    <t>2.3.</t>
  </si>
  <si>
    <t>2.4.</t>
  </si>
  <si>
    <t>VI. Finanszírozási kiadások (6.1+6.2)</t>
  </si>
  <si>
    <t xml:space="preserve"> KIADÁSOK ÖSSZESEN: (1+2+3+4+5+6)</t>
  </si>
  <si>
    <t>Bevételek összesen:</t>
  </si>
  <si>
    <t>Kiadások összesen:</t>
  </si>
  <si>
    <t>Egyenleg</t>
  </si>
  <si>
    <t>2008.</t>
  </si>
  <si>
    <t>Egyéb kvi szervtől átvett támogatás</t>
  </si>
  <si>
    <t>IV. Véglegesen átvett pénzeszközök (6.1+6.2+6.3+6.4)</t>
  </si>
  <si>
    <t>1.5</t>
  </si>
  <si>
    <t>I. Folyó (működési) kiadások (1.1+…+1.12)</t>
  </si>
  <si>
    <t>2007. évi előirányzat</t>
  </si>
  <si>
    <t>4.4.</t>
  </si>
  <si>
    <t>4.5.</t>
  </si>
  <si>
    <t>Támogatásértékű felhalmozási bevételek</t>
  </si>
  <si>
    <t>2009.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</si>
  <si>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</si>
  <si>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 xml:space="preserve">Egyéb </t>
  </si>
  <si>
    <t>Egyéb</t>
  </si>
  <si>
    <t>II. Felhalmozási és tőke jellegű kiadások (2.1+…+2.4)</t>
  </si>
  <si>
    <t>II. Támogatások, kiegészítések (4.1+…+4.7)</t>
  </si>
  <si>
    <t>III. Felhalmozási és tőkejellegű bevételek (5.1+…+5.3)*</t>
  </si>
  <si>
    <t>......................, 2007. .......................... hó ..... nap</t>
  </si>
  <si>
    <t>Összesen (1+4+7+9+11)</t>
  </si>
  <si>
    <t>Beruházás feladatonként</t>
  </si>
  <si>
    <t>III. Tartalékok (3.1+...+3.2)</t>
  </si>
  <si>
    <t>2006. évi 
tény</t>
  </si>
  <si>
    <t>2007. évi módosított előirányzat</t>
  </si>
  <si>
    <t>2008. évi tervezett előirányzat</t>
  </si>
  <si>
    <t xml:space="preserve">I/2. Önkormányzat sajátos műk. bevételei </t>
  </si>
  <si>
    <t>Építményadó</t>
  </si>
  <si>
    <t>Iaprűzési adó</t>
  </si>
  <si>
    <t>Pótlékok, bírságok</t>
  </si>
  <si>
    <t>Gépjárműadó</t>
  </si>
  <si>
    <t>SZJA</t>
  </si>
  <si>
    <t>3.5.</t>
  </si>
  <si>
    <t>3.6.</t>
  </si>
  <si>
    <t>Üzemeltetés</t>
  </si>
  <si>
    <t>Normatív hozzájárulások lakosságszámhoz</t>
  </si>
  <si>
    <t>Normatív hozzájárulások feladatmutatóhoz</t>
  </si>
  <si>
    <t>Egyes szociális feladat. Kiegészítő támogatás</t>
  </si>
  <si>
    <t>Központosított előír.</t>
  </si>
  <si>
    <t>Pénzeszköz átvét. Vállalkozásoktól</t>
  </si>
  <si>
    <t>Pénzeszköz átvét. Háztartásoktól</t>
  </si>
  <si>
    <t>V. visszatérítés</t>
  </si>
  <si>
    <t>Előző évi kp-i kv-i kieg. Visszatérítése</t>
  </si>
  <si>
    <t>Kötvény bevételek</t>
  </si>
  <si>
    <t>Külső személyi juttatások</t>
  </si>
  <si>
    <t>Készletbeszerzés</t>
  </si>
  <si>
    <t>Szolgáltatások</t>
  </si>
  <si>
    <t>Különféle dologi kiadások</t>
  </si>
  <si>
    <t>Hitel törlesztés</t>
  </si>
  <si>
    <t>Rövid lejáratú likvid hitel törlesztés</t>
  </si>
  <si>
    <t>Függő, átfutó, kiegyenlítő</t>
  </si>
  <si>
    <t>Intézményi beruházási kiadások</t>
  </si>
  <si>
    <t>Felújítás ÁFA</t>
  </si>
  <si>
    <t>Intézményi beruházási kiadások ÁFA</t>
  </si>
  <si>
    <t>Felügyelet alá tart. Kv.-i szerv működési támogatása</t>
  </si>
  <si>
    <t>Támogatás értékű működési kiadás</t>
  </si>
  <si>
    <t>Működési célú pe. Átadás</t>
  </si>
  <si>
    <t>Támogatás:</t>
  </si>
  <si>
    <t>Non-profit szervek</t>
  </si>
  <si>
    <t>Művház</t>
  </si>
  <si>
    <t>Ócsa és Tsai Kht</t>
  </si>
  <si>
    <t>Családsegítő támogatás</t>
  </si>
  <si>
    <t>Révfülöpi tábor</t>
  </si>
  <si>
    <t>Turinform</t>
  </si>
  <si>
    <t>Ktv szakszervezet</t>
  </si>
  <si>
    <t>LTP alapítvány</t>
  </si>
  <si>
    <t>egyéb</t>
  </si>
  <si>
    <t>2008. évi előirányzat</t>
  </si>
  <si>
    <t xml:space="preserve">
2008. év utáni szükséglet
</t>
  </si>
  <si>
    <t>2008. év utáni szükséglet
(6=2 - 4 - 5)</t>
  </si>
  <si>
    <t>2008. előtti kifizetés</t>
  </si>
  <si>
    <t>2010.</t>
  </si>
  <si>
    <t>Halászy Károly Általános Iskola</t>
  </si>
  <si>
    <t>Nefelejcs Napköziotthonos Központi Óvoda</t>
  </si>
  <si>
    <t>Falu Tamás Könyvtár</t>
  </si>
  <si>
    <t>Egressy Gábor Kht. (művelődési ház)</t>
  </si>
  <si>
    <t>Ócsa Városüzemeltetési non-profit Kft.</t>
  </si>
  <si>
    <t>sorszám</t>
  </si>
  <si>
    <t>Tartozásállomány megnevezése</t>
  </si>
  <si>
    <t>15 napon belüli állomány</t>
  </si>
  <si>
    <t>15-30 napon belüli állomány</t>
  </si>
  <si>
    <t>30-60 napon belüli állomány</t>
  </si>
  <si>
    <t>60 napon túli állomány</t>
  </si>
  <si>
    <t>Készletbeszerzések (Konyhai étkezéshez kapcsolodó)</t>
  </si>
  <si>
    <t>Szolgáltatások (Telefon, gáz, ELMŰ, víz, csatorna számlák)</t>
  </si>
  <si>
    <t>Visszatérítés</t>
  </si>
  <si>
    <t>Működési célú hitel</t>
  </si>
  <si>
    <t>Működési hitel felvétel</t>
  </si>
  <si>
    <t>Forráshiány</t>
  </si>
  <si>
    <t>Felhalmozási célú hitelek bevételei</t>
  </si>
  <si>
    <t>Felhalmozási célú hitelek, kölcsönök bevételei</t>
  </si>
  <si>
    <t>Hiteltörlesztés</t>
  </si>
  <si>
    <t xml:space="preserve">                           Ezer forintban !</t>
  </si>
  <si>
    <t>Intézményi működési bevételek</t>
  </si>
  <si>
    <t>ÁFA bevételek</t>
  </si>
  <si>
    <t>Pályázatok, támogatások</t>
  </si>
  <si>
    <t>Támogatások, átvett pénzeszközök</t>
  </si>
  <si>
    <t>Önkormányzati támogatás</t>
  </si>
  <si>
    <t>függő</t>
  </si>
  <si>
    <t>pénzmaradvány nyitó bev. Szla.</t>
  </si>
  <si>
    <t xml:space="preserve">BEVÉTELEK ÖSSZESEN: </t>
  </si>
  <si>
    <t xml:space="preserve">                            Ezer forintban !</t>
  </si>
  <si>
    <t>Kiadási jogcím</t>
  </si>
  <si>
    <t>7</t>
  </si>
  <si>
    <t>I. Folyó (működési) kiadások (1.1+…+1.6)</t>
  </si>
  <si>
    <t>1.5.</t>
  </si>
  <si>
    <t>Függő, átfutó, kiegyenlítő kiadások</t>
  </si>
  <si>
    <t xml:space="preserve"> KIADÁSOK ÖSSZESEN: (1+2)</t>
  </si>
  <si>
    <t>2008. évi előírányzat</t>
  </si>
  <si>
    <t>Intézményi ellátási díj bevétel</t>
  </si>
  <si>
    <t>Alkalmazottak térítésének bevét.</t>
  </si>
  <si>
    <t>Készletbeszerzések</t>
  </si>
  <si>
    <t>Ellátottak pénzbeli juttatásai</t>
  </si>
  <si>
    <t>Beruházási kiadások</t>
  </si>
  <si>
    <t>Felújítási kiadások</t>
  </si>
  <si>
    <t xml:space="preserve"> KIADÁSOK ÖSSZESEN: </t>
  </si>
  <si>
    <t>Különféle dologi</t>
  </si>
  <si>
    <t>III. Tartalékok (3.1+3.2)</t>
  </si>
  <si>
    <t>IV. Egyéb kiadások</t>
  </si>
  <si>
    <t xml:space="preserve"> KIADÁSOK ÖSSZESEN: (1+2+3+4+5)</t>
  </si>
  <si>
    <t>Sor-sz.</t>
  </si>
  <si>
    <t>Intézmény / szakfeladat</t>
  </si>
  <si>
    <t>Kiadások összesen</t>
  </si>
  <si>
    <t>Ebből</t>
  </si>
  <si>
    <t>Munkaadót terhelő járulékok</t>
  </si>
  <si>
    <t>2006. évi tényleges kiadás</t>
  </si>
  <si>
    <t>Közművelődési könyvtári tevékenység</t>
  </si>
  <si>
    <t>Helyi közutak létesítése, felújítása</t>
  </si>
  <si>
    <t>Óvodai nevelés</t>
  </si>
  <si>
    <t>Kiegészítő alapellátási szolgáltatások</t>
  </si>
  <si>
    <t>Védőnői szolgálat</t>
  </si>
  <si>
    <t>Szociális étkeztetés</t>
  </si>
  <si>
    <t>Eseti pénzbeli szociális ellátások</t>
  </si>
  <si>
    <t>Kiadások összesen (1-5)</t>
  </si>
  <si>
    <t>Mindösszesen (1-6)</t>
  </si>
  <si>
    <t>Felújítások</t>
  </si>
  <si>
    <t>Beruházások</t>
  </si>
  <si>
    <t>2007. évi eredeti</t>
  </si>
  <si>
    <t>2008. évi tervezett</t>
  </si>
  <si>
    <t>Pénzeszközátadások</t>
  </si>
  <si>
    <t>pénzbli juttatások</t>
  </si>
  <si>
    <t>Létszám adatok</t>
  </si>
  <si>
    <t>Kisegítő megzőgazdasági szolgáltatás</t>
  </si>
  <si>
    <t>Óvodai Intézményi közétkeztetés</t>
  </si>
  <si>
    <t>Közutak, hidak alagutak üzemeltetése</t>
  </si>
  <si>
    <t>Igazgatási tevékenység</t>
  </si>
  <si>
    <t>Város és községazdálkodás</t>
  </si>
  <si>
    <t>Általános iskolának átadott pénzeszköz</t>
  </si>
  <si>
    <t>Finanszírozási műveletek elszámolása (rul. Hitel)</t>
  </si>
  <si>
    <t>Háziorvosi szolgálat</t>
  </si>
  <si>
    <t>Állategészségügy</t>
  </si>
  <si>
    <t>Rendszeres szoc. Pénzbeni ellátás</t>
  </si>
  <si>
    <t>Rendszeres gyermekvédelmi pénzb. Ellátás</t>
  </si>
  <si>
    <t>Munkanélküli ellátások</t>
  </si>
  <si>
    <t>Eseti pénzbeni gyermekvédelmi ellátások</t>
  </si>
  <si>
    <t>Kiadási előírányat</t>
  </si>
  <si>
    <t>KIADÁSOK ÖSSZESEN</t>
  </si>
  <si>
    <t>2006. évi teljesítés</t>
  </si>
  <si>
    <t>2007. évi előírányzat</t>
  </si>
  <si>
    <t>Nem foglalkoztatottak rendszeres szoc. Segélye</t>
  </si>
  <si>
    <t>Időskorúak járadéka</t>
  </si>
  <si>
    <t>Normatív lakásfenntartási támogatás</t>
  </si>
  <si>
    <t>Pénzbeli átmeneti segélyek</t>
  </si>
  <si>
    <t>Pénzbeli temetési segélyek</t>
  </si>
  <si>
    <t>diákétkeztetés külsős</t>
  </si>
  <si>
    <t>Egyéb rászorultságtól függő ellátások</t>
  </si>
  <si>
    <t>Bursa támogatás</t>
  </si>
  <si>
    <t>Mozg. Kor. Közlekedési támogatása</t>
  </si>
  <si>
    <t>Helyi közlekedési támogatás</t>
  </si>
  <si>
    <t>Köztemetés</t>
  </si>
  <si>
    <t>Közgyógyellátás</t>
  </si>
  <si>
    <t>Munkanélküli ellátások:</t>
  </si>
  <si>
    <t>Rendszeres szociális pénzbeli ellátások:</t>
  </si>
  <si>
    <t>Rendszeres gyermekvédelmi pénzbeli ellátások:</t>
  </si>
  <si>
    <t>Napközi, óvoda gyermekétkeztetés</t>
  </si>
  <si>
    <t>Eseti pénzbeli gyermekvédelmi ellátások:</t>
  </si>
  <si>
    <t>Ápolási díjak (normatív, és egyéb)</t>
  </si>
  <si>
    <t>Eseti pénzbeli szociális ellátások:</t>
  </si>
  <si>
    <t xml:space="preserve">  kifizetői adó</t>
  </si>
  <si>
    <t>Pénzmaradvány</t>
  </si>
  <si>
    <t>Iparűzési adó</t>
  </si>
  <si>
    <t>Egyéb (céltámogatás, céljellegű decentralizált, támogatás)</t>
  </si>
  <si>
    <t>Pénzmaradvány nyitóbevétel</t>
  </si>
  <si>
    <t>Függő átfutó kiegyenlítő</t>
  </si>
  <si>
    <t>Polgármesteri Hivatal:</t>
  </si>
  <si>
    <t>Nefelejcs Központi Tagóvoda:</t>
  </si>
  <si>
    <t>Falu Tamás Könyvtár:</t>
  </si>
  <si>
    <t>Halászy Károly Általános Iskola:</t>
  </si>
  <si>
    <t>Teljes összeg</t>
  </si>
  <si>
    <t>Kötvénykibocsátás tőke törlesztése</t>
  </si>
  <si>
    <t>Kötvénykibocsátás kamatfizetése</t>
  </si>
  <si>
    <t>Mercedes gépjármű tőke és kamattörlesztése</t>
  </si>
  <si>
    <t>Rúlírozó hitel keret</t>
  </si>
  <si>
    <t>Mercedes Gépjármű vásárlása (tőke + kamat)</t>
  </si>
  <si>
    <t>Gyermekvédelmi támogatás</t>
  </si>
  <si>
    <t>eseti gyermekvédelmi támogatás</t>
  </si>
  <si>
    <t>2007.11.30. teljesítés</t>
  </si>
  <si>
    <t>Ezer forintban</t>
  </si>
  <si>
    <t>Felújítás célonként hitelrész</t>
  </si>
  <si>
    <t>Számítógépbeszerzés</t>
  </si>
  <si>
    <t>Általános Tartalék</t>
  </si>
  <si>
    <t>2007. évi novemberi teljesítés</t>
  </si>
  <si>
    <t>Külső személyi juttatás</t>
  </si>
  <si>
    <t>Iskolai intézményi közétkeztetés</t>
  </si>
  <si>
    <t>Munkahelyi vendéglátás</t>
  </si>
  <si>
    <t>Intézményi vagyon működtetése</t>
  </si>
  <si>
    <t>Önkormányzati és többc. Kis. Társ. Elsz</t>
  </si>
  <si>
    <t xml:space="preserve">Általános iskolai nappali rendsz. Nev. Okt. </t>
  </si>
  <si>
    <t>Sajátos nev. Igényű. Tan. Nappali ált. isk. okt.</t>
  </si>
  <si>
    <t xml:space="preserve">Napköziotthoni és tanulószobai foglalk. </t>
  </si>
  <si>
    <t>Működési</t>
  </si>
  <si>
    <t>Diáksport</t>
  </si>
  <si>
    <t>Működési hitel</t>
  </si>
  <si>
    <t xml:space="preserve">Felhalm. Célú. Tám. Ért. Bev. Önk. </t>
  </si>
  <si>
    <t>Caminus- Világítási berendezés bérlése</t>
  </si>
  <si>
    <t>ismeretlen</t>
  </si>
  <si>
    <t>Caminus- Világítási rendszer bérlése  *</t>
  </si>
  <si>
    <t>Egyéb (céltámogatás, céljellegű decentralizált támogatás)</t>
  </si>
  <si>
    <t>Függő átfutó kiadás</t>
  </si>
  <si>
    <t>Felhalmozási kiadások beruházás</t>
  </si>
  <si>
    <t>Beruházás Áfa</t>
  </si>
  <si>
    <t>2008. évi eredeti előirányzat</t>
  </si>
  <si>
    <t>2009. évi előirányzat</t>
  </si>
  <si>
    <t>2010. évi előirányzat</t>
  </si>
  <si>
    <t>Egyes támogatások (művház, alapítvány, szakszerv. Stb)</t>
  </si>
  <si>
    <t>Non-profit Kft</t>
  </si>
  <si>
    <t>Non-profit Kft.</t>
  </si>
  <si>
    <t>2008. évi terv</t>
  </si>
  <si>
    <t xml:space="preserve">2007. évi mód. ei. </t>
  </si>
  <si>
    <t>2007. évi mód. ei.</t>
  </si>
  <si>
    <t>2007. évi nov. teljesítés</t>
  </si>
  <si>
    <t>III. Felhalmozási és tőkejellegű bevételek</t>
  </si>
  <si>
    <t>II. Támogatások, kiegészítések</t>
  </si>
  <si>
    <t xml:space="preserve">IV. Véglegesen átvett pénzeszközök </t>
  </si>
  <si>
    <t>II. Felhalmozási és tőke jellegű kiadások</t>
  </si>
  <si>
    <t xml:space="preserve">I. Folyó (működési) kiadások </t>
  </si>
  <si>
    <t xml:space="preserve">II. Felhalmozási és tőke jellegű kiadások </t>
  </si>
  <si>
    <t xml:space="preserve">2007. évi mód. Ei. </t>
  </si>
  <si>
    <t>Szakfeladat megnevezése</t>
  </si>
  <si>
    <t>Ócsa Város Önkormányzat Polgármesteri Hivatalának szakfeladatainak 2008. évi előirányzata</t>
  </si>
  <si>
    <t>IV. Véglegesen átvett pénzeszközök</t>
  </si>
  <si>
    <t>VI. Finanszírozási bevételek</t>
  </si>
  <si>
    <t xml:space="preserve">FOLYÓ BEVÉTELEK ÖSSZESEN: </t>
  </si>
  <si>
    <t xml:space="preserve">III. Tartalékok </t>
  </si>
  <si>
    <t xml:space="preserve">VI. Finanszírozási kiadások </t>
  </si>
  <si>
    <t>Tárgyi eszközök:</t>
  </si>
  <si>
    <t>17 db laptop beszerzése</t>
  </si>
  <si>
    <t>Függő, átfutó, egyéb</t>
  </si>
  <si>
    <t>függő, átfutó egyéb</t>
  </si>
  <si>
    <t>Építési beruházások</t>
  </si>
  <si>
    <t>Egészségház megépítése</t>
  </si>
  <si>
    <t>Okmányiroda</t>
  </si>
  <si>
    <t>Rendőrség</t>
  </si>
  <si>
    <t>Ügyviteli és számtech gépek beszerzése</t>
  </si>
  <si>
    <t>Raktár felújítása</t>
  </si>
  <si>
    <t>Egyéb szakfel (pl. helyi kisebbségi, választások..)</t>
  </si>
  <si>
    <t>szakfeladaton kívül</t>
  </si>
  <si>
    <t xml:space="preserve">Kiadások összesen </t>
  </si>
  <si>
    <t>2</t>
  </si>
  <si>
    <t>3</t>
  </si>
  <si>
    <t>4</t>
  </si>
  <si>
    <t>5</t>
  </si>
  <si>
    <t>6</t>
  </si>
  <si>
    <t>8</t>
  </si>
  <si>
    <t>Vizitdíj</t>
  </si>
  <si>
    <t>Szavazó rendszer</t>
  </si>
  <si>
    <t>Szellemi termékek:</t>
  </si>
  <si>
    <t>Hangfelismerő szoftver</t>
  </si>
  <si>
    <t>Játszótér</t>
  </si>
  <si>
    <t>Számítógép beszerzés</t>
  </si>
  <si>
    <t>A nem foglalkoztatottak rendszeres szociális segélyének összegének 90%-át támogatásként visszakapjuk, ezért</t>
  </si>
  <si>
    <t>csak 10 %-al van tervezve. (A teljes összeg 28 000 000 Ft)</t>
  </si>
  <si>
    <t>Eredetiként nem tervezhető előirányzat a rendszeres gyermekvédelmi kedvezményesek részére évi 2 alkalommal</t>
  </si>
  <si>
    <t xml:space="preserve">rk. segély mely 5 500 Ft/fő/alkalom, ami összesen 2 860 000 Ft. Ennek a teljes összegét visszaigényeljük. </t>
  </si>
  <si>
    <t>Fajlagos összeg</t>
  </si>
  <si>
    <t>Megállapított összeg</t>
  </si>
  <si>
    <t>Lakásságszám szerint</t>
  </si>
  <si>
    <t>Közösségi közlekedési feladatok</t>
  </si>
  <si>
    <t>Sorszám</t>
  </si>
  <si>
    <t>Települési önkormányzatok feladatai</t>
  </si>
  <si>
    <t>Lakott külterülettel kapcsolatos feladatok</t>
  </si>
  <si>
    <t>Közművelődési és közgyűjteményi feladatok</t>
  </si>
  <si>
    <t>Helyi közművelődési és közgyűjteményi feladatok</t>
  </si>
  <si>
    <t>Helyi Önkormányzatokat megillető szja. Megosztása</t>
  </si>
  <si>
    <t>Helyben maradó 8%</t>
  </si>
  <si>
    <t>jövedelemdifferenciálódás mérséklése</t>
  </si>
  <si>
    <t>Szociális juttatások</t>
  </si>
  <si>
    <t>Pénzbeli szociális juttatások</t>
  </si>
  <si>
    <t>Szociális és gyermekjóléti alapszolgáltatás feladatai</t>
  </si>
  <si>
    <t>Szociális étkezés</t>
  </si>
  <si>
    <t>Kiegészítő támogatás egyes szociális feladatokhoz</t>
  </si>
  <si>
    <t>Önkormányzat által szervezett közfoglalkoztatás támogatása</t>
  </si>
  <si>
    <t>Helyi Önkormányzatok normatív, kötött felhasználású támogatásai</t>
  </si>
  <si>
    <t>Közoktatás</t>
  </si>
  <si>
    <t>Óvoda</t>
  </si>
  <si>
    <t>2007. évi klt alapján</t>
  </si>
  <si>
    <t>2008. évi klt alapján</t>
  </si>
  <si>
    <t>Általános Iskola</t>
  </si>
  <si>
    <t>2007. évi klt. alapján</t>
  </si>
  <si>
    <t>Sajátos nevelésű igényű tanulók kollégiumi nevelés</t>
  </si>
  <si>
    <t>Napközis foglalkoztatás</t>
  </si>
  <si>
    <t>Testi, érzékszervi középsúlyos ért. fogy. autista, halm. fogy. gyermekek</t>
  </si>
  <si>
    <t>Sajátos nevelési igényű tanulók rehab. bizottság véleménye alapján</t>
  </si>
  <si>
    <t>Beszédfogyatékos, enyhe értelmi fogy. Sni-s tanuló</t>
  </si>
  <si>
    <t>Kedvezményes óvodai, iskolai étkeztetés</t>
  </si>
  <si>
    <t>Nappali tanulók tankönyvellátásának támogatása</t>
  </si>
  <si>
    <t>Tanulók ingyenes tankönyvellátása</t>
  </si>
  <si>
    <t>Általános hozzájárulás a tanulók tankönyvellátásához</t>
  </si>
  <si>
    <t>Pedagógus szakvizsga</t>
  </si>
  <si>
    <t>I.</t>
  </si>
  <si>
    <t>II.</t>
  </si>
  <si>
    <t>III.</t>
  </si>
  <si>
    <t>IV.</t>
  </si>
  <si>
    <t>V.</t>
  </si>
  <si>
    <t>VI.</t>
  </si>
  <si>
    <t>Alap juttatások</t>
  </si>
  <si>
    <t>Faluvédő Egyesület</t>
  </si>
  <si>
    <t>Ócsai Sport Egyesület</t>
  </si>
  <si>
    <t>Baptista Gyülekezet</t>
  </si>
  <si>
    <t>Református Egyház</t>
  </si>
  <si>
    <t>Katolikus Egyház</t>
  </si>
  <si>
    <t>Szervezet megnevezése:</t>
  </si>
  <si>
    <t>Keretösszegre jogosultak megnevezése</t>
  </si>
  <si>
    <t>Pénzügyi, gazd., pály., koordináló Bizottság</t>
  </si>
  <si>
    <t>Alpolgármester</t>
  </si>
  <si>
    <t>Polgármester</t>
  </si>
  <si>
    <t>Településfejl., körny., és idegenforg. Bizottság</t>
  </si>
  <si>
    <t>Oktatási, kulturális és Sport Bizottság</t>
  </si>
  <si>
    <t>Szociálpolitikai Bizottság</t>
  </si>
  <si>
    <t>Egészségügyi Bizottság</t>
  </si>
  <si>
    <t>Esemény megnevezése</t>
  </si>
  <si>
    <t>Gyermeknap</t>
  </si>
  <si>
    <t>Pedagógusnap</t>
  </si>
  <si>
    <t>Városi Vígasság</t>
  </si>
  <si>
    <t>Mindenki Karácsonya</t>
  </si>
  <si>
    <t>Köztisztviselői nap</t>
  </si>
  <si>
    <t>Nemzeti Ünnepek</t>
  </si>
  <si>
    <t>Magyar Kultúra Napja</t>
  </si>
  <si>
    <t>Ócsai Kulturális Napok</t>
  </si>
  <si>
    <t>Parasportnap</t>
  </si>
  <si>
    <t>Díjak megnevezése</t>
  </si>
  <si>
    <t>Ócsa Város Díszpolára</t>
  </si>
  <si>
    <t>Ócsa Városért Díj I;II</t>
  </si>
  <si>
    <t>Ócsa Kultúrájáért Díj I;II</t>
  </si>
  <si>
    <t>Együtt a jövőnkért</t>
  </si>
  <si>
    <t>Telekvásárlás</t>
  </si>
  <si>
    <t>Gimnáziumnál lévő Zöldfelület burkolás</t>
  </si>
  <si>
    <t>Összeg</t>
  </si>
  <si>
    <t>Ócsa Város Önkrományzat 2008. évi megállapított állami támogatásai</t>
  </si>
  <si>
    <t>Forintban</t>
  </si>
  <si>
    <t>0</t>
  </si>
  <si>
    <t>A</t>
  </si>
  <si>
    <t>B</t>
  </si>
  <si>
    <t>C</t>
  </si>
  <si>
    <t>D</t>
  </si>
  <si>
    <t xml:space="preserve">Kertváros Gyáli Kistérség 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</si>
  <si>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</si>
  <si>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</si>
  <si>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</si>
  <si>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</si>
  <si>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</si>
  <si>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</si>
  <si>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</si>
  <si>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</si>
  <si>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</si>
  <si>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</si>
  <si>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</si>
  <si>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</si>
  <si>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</si>
  <si>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</si>
  <si>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1.22</t>
  </si>
  <si>
    <t>1.23</t>
  </si>
  <si>
    <t>1.24</t>
  </si>
  <si>
    <t>1.2</t>
  </si>
  <si>
    <t>1.3</t>
  </si>
  <si>
    <t>1.4</t>
  </si>
  <si>
    <t>900</t>
  </si>
  <si>
    <t>250</t>
  </si>
  <si>
    <t>Nefelejcs Napköziötthonos Központi Óvoda</t>
  </si>
  <si>
    <t>Eszközfelújítás</t>
  </si>
  <si>
    <t>Polgármesteri Hivatal</t>
  </si>
  <si>
    <t>Halászy Károly Általános Iskola tornyának felújítása</t>
  </si>
  <si>
    <t>Többlet</t>
  </si>
  <si>
    <t>Hiány</t>
  </si>
  <si>
    <t>4.5</t>
  </si>
  <si>
    <t>4.6</t>
  </si>
  <si>
    <t>6.1</t>
  </si>
  <si>
    <t>6.2</t>
  </si>
  <si>
    <t>6.3</t>
  </si>
  <si>
    <t>6.4</t>
  </si>
  <si>
    <t>6.5</t>
  </si>
  <si>
    <t>6.6</t>
  </si>
  <si>
    <t>6.7</t>
  </si>
  <si>
    <t>8.2</t>
  </si>
  <si>
    <t>8.3</t>
  </si>
  <si>
    <t>1.17</t>
  </si>
  <si>
    <t>Bevételek összesen</t>
  </si>
  <si>
    <t>1</t>
  </si>
  <si>
    <t xml:space="preserve">K I A D Á S O K </t>
  </si>
  <si>
    <t xml:space="preserve">*  A bérlet időtartama 120 hónap. A bérleti díjat évente aktualizálni kell a KSH által közzétett a tárgyévet megelőző fogyasztói árindex mértékével. </t>
  </si>
  <si>
    <t>2008 - 2008</t>
  </si>
  <si>
    <t xml:space="preserve"> 2008 - 2008</t>
  </si>
  <si>
    <t xml:space="preserve">    2005 -     </t>
  </si>
  <si>
    <t>2006 - 2011</t>
  </si>
  <si>
    <t>adatok ezer forintban</t>
  </si>
  <si>
    <t>1.8</t>
  </si>
  <si>
    <t>Non-porfit Kft</t>
  </si>
  <si>
    <t>Gyáli Kistérség támogatása</t>
  </si>
  <si>
    <t>Egyéb folyó kiadás</t>
  </si>
  <si>
    <t>Társadalom és szocpol juttatások</t>
  </si>
  <si>
    <t>Működési célú kiadás</t>
  </si>
  <si>
    <t>Pénzeszköz átadás (LTP, lakáshoz)</t>
  </si>
  <si>
    <t>Beruházás</t>
  </si>
  <si>
    <t>Tartalék felhasználása</t>
  </si>
  <si>
    <t>Sajátos működési bevételek</t>
  </si>
  <si>
    <t>Kötvénybevétel</t>
  </si>
  <si>
    <t>Számítógép</t>
  </si>
  <si>
    <t>Óvoda tervezése</t>
  </si>
  <si>
    <t>Költségvetési támogatás</t>
  </si>
  <si>
    <t>Tankönyvtámogatás</t>
  </si>
  <si>
    <t>6.8</t>
  </si>
  <si>
    <t>Non-profit szervezetek</t>
  </si>
  <si>
    <t>Sajátos működési bevételei</t>
  </si>
  <si>
    <t>Véglegesen átvett pénzeszközök</t>
  </si>
  <si>
    <t xml:space="preserve">2006. évi tényleges </t>
  </si>
  <si>
    <t>I. Folyó (működési) kiadások</t>
  </si>
  <si>
    <t xml:space="preserve">2007. évi tényleges </t>
  </si>
  <si>
    <t>Siemens fénymásoló</t>
  </si>
  <si>
    <t>Ingatlanok vásárlása</t>
  </si>
  <si>
    <t>Palásti Gyermeküdültetés</t>
  </si>
  <si>
    <t>Ellátottak térítési díjának, illetve kártésítésének méltányosásgi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</si>
  <si>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</si>
  <si>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</t>
  </si>
  <si>
    <t>helyiségek, eszközök hasznosításából származó bevételből nyújtott kedvezmény, mentesség összege</t>
  </si>
  <si>
    <t>Egyéb nyújtott kedvezmény vagy kölcsön elengedésének összege</t>
  </si>
  <si>
    <t>Közvetett támogatások megnevezései</t>
  </si>
  <si>
    <t>2008. évi ei.</t>
  </si>
  <si>
    <t>21. számú melléklet</t>
  </si>
  <si>
    <t>Ócsa Város Önkormányzat közvetett támogatásai a 2008. évben</t>
  </si>
  <si>
    <t>Felhalmozási célú Kötvénykibocsátás</t>
  </si>
  <si>
    <t>Szociális, és ell. pénzbeli  juttatásai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</si>
</sst>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0.0"/>
    <numFmt numFmtId="174" formatCode="[$-40E]yyyy\.\ mmmm\ d\."/>
    <numFmt numFmtId="175" formatCode="&quot;H-&quot;0000"/>
  </numFmts>
  <fonts count="49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vertAlign val="superscript"/>
      <sz val="8"/>
      <name val="Times New Roman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i/>
      <sz val="10"/>
      <name val="Times New Roman CE"/>
      <family val="0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1033">
    <xf numFmtId="0" fontId="0" fillId="0" borderId="0" xfId="0" applyAlignment="1">
      <alignment/>
    </xf>
    <xf numFmtId="164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horizontal="centerContinuous" vertical="center"/>
      <protection/>
    </xf>
    <xf numFmtId="0" fontId="16" fillId="0" borderId="11" xfId="57" applyFont="1" applyFill="1" applyBorder="1" applyAlignment="1" applyProtection="1">
      <alignment horizontal="left" vertical="center" wrapText="1" indent="1"/>
      <protection/>
    </xf>
    <xf numFmtId="0" fontId="16" fillId="0" borderId="12" xfId="57" applyFont="1" applyFill="1" applyBorder="1" applyAlignment="1" applyProtection="1">
      <alignment horizontal="left" vertical="center" wrapText="1" indent="1"/>
      <protection/>
    </xf>
    <xf numFmtId="164" fontId="16" fillId="0" borderId="13" xfId="57" applyNumberFormat="1" applyFont="1" applyFill="1" applyBorder="1" applyAlignment="1" applyProtection="1">
      <alignment vertical="center" wrapText="1"/>
      <protection locked="0"/>
    </xf>
    <xf numFmtId="0" fontId="16" fillId="0" borderId="14" xfId="57" applyFont="1" applyFill="1" applyBorder="1" applyAlignment="1" applyProtection="1">
      <alignment horizontal="left" vertical="center" wrapText="1" indent="1"/>
      <protection/>
    </xf>
    <xf numFmtId="0" fontId="16" fillId="0" borderId="15" xfId="57" applyFont="1" applyFill="1" applyBorder="1" applyAlignment="1" applyProtection="1">
      <alignment horizontal="left" vertical="center" wrapText="1" indent="1"/>
      <protection/>
    </xf>
    <xf numFmtId="164" fontId="16" fillId="0" borderId="16" xfId="57" applyNumberFormat="1" applyFont="1" applyFill="1" applyBorder="1" applyAlignment="1" applyProtection="1">
      <alignment vertical="center" wrapText="1"/>
      <protection locked="0"/>
    </xf>
    <xf numFmtId="0" fontId="16" fillId="0" borderId="0" xfId="57" applyFont="1" applyFill="1" applyAlignment="1" applyProtection="1">
      <alignment horizontal="left" indent="1"/>
      <protection/>
    </xf>
    <xf numFmtId="164" fontId="16" fillId="0" borderId="17" xfId="57" applyNumberFormat="1" applyFont="1" applyFill="1" applyBorder="1" applyAlignment="1" applyProtection="1">
      <alignment vertical="center" wrapText="1"/>
      <protection locked="0"/>
    </xf>
    <xf numFmtId="0" fontId="16" fillId="0" borderId="18" xfId="57" applyFont="1" applyFill="1" applyBorder="1" applyAlignment="1" applyProtection="1">
      <alignment horizontal="left" vertical="center" wrapText="1" indent="1"/>
      <protection/>
    </xf>
    <xf numFmtId="164" fontId="16" fillId="0" borderId="18" xfId="57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57" applyFont="1" applyFill="1" applyBorder="1" applyAlignment="1" applyProtection="1">
      <alignment horizontal="left" vertical="center" wrapText="1" indent="1"/>
      <protection/>
    </xf>
    <xf numFmtId="0" fontId="16" fillId="0" borderId="20" xfId="57" applyFont="1" applyFill="1" applyBorder="1" applyAlignment="1" applyProtection="1">
      <alignment horizontal="left" vertical="center" wrapText="1" indent="1"/>
      <protection/>
    </xf>
    <xf numFmtId="49" fontId="16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30" xfId="57" applyFont="1" applyFill="1" applyBorder="1" applyAlignment="1" applyProtection="1">
      <alignment horizontal="left" vertical="center" wrapText="1" indent="1"/>
      <protection/>
    </xf>
    <xf numFmtId="0" fontId="14" fillId="0" borderId="31" xfId="57" applyFont="1" applyFill="1" applyBorder="1" applyAlignment="1" applyProtection="1">
      <alignment horizontal="left" vertical="center" wrapText="1" indent="1"/>
      <protection/>
    </xf>
    <xf numFmtId="164" fontId="14" fillId="0" borderId="32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33" xfId="57" applyFont="1" applyFill="1" applyBorder="1" applyAlignment="1" applyProtection="1">
      <alignment horizontal="left" vertical="center" wrapText="1" indent="1"/>
      <protection/>
    </xf>
    <xf numFmtId="0" fontId="14" fillId="0" borderId="34" xfId="57" applyFont="1" applyFill="1" applyBorder="1" applyAlignment="1" applyProtection="1">
      <alignment horizontal="left" vertical="center" wrapText="1" indent="1"/>
      <protection/>
    </xf>
    <xf numFmtId="0" fontId="18" fillId="0" borderId="31" xfId="57" applyFont="1" applyFill="1" applyBorder="1" applyAlignment="1" applyProtection="1">
      <alignment horizontal="left" vertical="center" wrapText="1" indent="1"/>
      <protection/>
    </xf>
    <xf numFmtId="0" fontId="16" fillId="0" borderId="12" xfId="57" applyFont="1" applyFill="1" applyBorder="1" applyAlignment="1" applyProtection="1">
      <alignment horizontal="left" vertical="center" wrapText="1" indent="2"/>
      <protection/>
    </xf>
    <xf numFmtId="0" fontId="16" fillId="0" borderId="20" xfId="57" applyFont="1" applyFill="1" applyBorder="1" applyAlignment="1" applyProtection="1">
      <alignment horizontal="left" vertical="center" wrapText="1" indent="2"/>
      <protection/>
    </xf>
    <xf numFmtId="0" fontId="16" fillId="0" borderId="12" xfId="57" applyFont="1" applyFill="1" applyBorder="1" applyAlignment="1" applyProtection="1">
      <alignment horizontal="left" indent="1"/>
      <protection/>
    </xf>
    <xf numFmtId="164" fontId="8" fillId="0" borderId="30" xfId="0" applyNumberFormat="1" applyFont="1" applyFill="1" applyBorder="1" applyAlignment="1">
      <alignment horizontal="left" vertical="center" wrapText="1"/>
    </xf>
    <xf numFmtId="0" fontId="8" fillId="0" borderId="30" xfId="57" applyFont="1" applyFill="1" applyBorder="1" applyAlignment="1" applyProtection="1">
      <alignment horizontal="center" vertical="center" wrapText="1"/>
      <protection/>
    </xf>
    <xf numFmtId="0" fontId="8" fillId="0" borderId="31" xfId="57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0" fontId="14" fillId="0" borderId="31" xfId="57" applyFont="1" applyFill="1" applyBorder="1" applyAlignment="1" applyProtection="1">
      <alignment vertical="center" wrapText="1"/>
      <protection/>
    </xf>
    <xf numFmtId="164" fontId="14" fillId="0" borderId="32" xfId="57" applyNumberFormat="1" applyFont="1" applyFill="1" applyBorder="1" applyAlignment="1" applyProtection="1">
      <alignment vertical="center" wrapText="1"/>
      <protection locked="0"/>
    </xf>
    <xf numFmtId="0" fontId="14" fillId="0" borderId="34" xfId="57" applyFont="1" applyFill="1" applyBorder="1" applyAlignment="1" applyProtection="1">
      <alignment vertical="center" wrapText="1"/>
      <protection/>
    </xf>
    <xf numFmtId="0" fontId="8" fillId="0" borderId="31" xfId="57" applyFont="1" applyFill="1" applyBorder="1" applyAlignment="1" applyProtection="1">
      <alignment horizontal="left" vertical="center" wrapText="1" indent="1"/>
      <protection/>
    </xf>
    <xf numFmtId="0" fontId="8" fillId="0" borderId="31" xfId="57" applyFont="1" applyFill="1" applyBorder="1" applyAlignment="1" applyProtection="1">
      <alignment vertical="center" wrapText="1"/>
      <protection/>
    </xf>
    <xf numFmtId="0" fontId="14" fillId="0" borderId="30" xfId="57" applyFont="1" applyFill="1" applyBorder="1" applyAlignment="1" applyProtection="1">
      <alignment horizontal="center" vertical="center" wrapText="1"/>
      <protection/>
    </xf>
    <xf numFmtId="0" fontId="14" fillId="0" borderId="31" xfId="57" applyFont="1" applyFill="1" applyBorder="1" applyAlignment="1" applyProtection="1">
      <alignment horizontal="center" vertical="center" wrapText="1"/>
      <protection/>
    </xf>
    <xf numFmtId="0" fontId="14" fillId="0" borderId="32" xfId="57" applyFont="1" applyFill="1" applyBorder="1" applyAlignment="1" applyProtection="1">
      <alignment horizontal="center" vertical="center" wrapText="1"/>
      <protection/>
    </xf>
    <xf numFmtId="0" fontId="8" fillId="0" borderId="31" xfId="58" applyFont="1" applyFill="1" applyBorder="1" applyAlignment="1" applyProtection="1">
      <alignment horizontal="left" vertical="center" indent="1"/>
      <protection/>
    </xf>
    <xf numFmtId="0" fontId="8" fillId="0" borderId="31" xfId="58" applyFont="1" applyFill="1" applyBorder="1" applyAlignment="1" applyProtection="1">
      <alignment horizontal="left" indent="1"/>
      <protection locked="0"/>
    </xf>
    <xf numFmtId="164" fontId="8" fillId="0" borderId="30" xfId="0" applyNumberFormat="1" applyFont="1" applyFill="1" applyBorder="1" applyAlignment="1">
      <alignment horizontal="left" vertical="center" wrapText="1" indent="1"/>
    </xf>
    <xf numFmtId="164" fontId="14" fillId="0" borderId="23" xfId="0" applyNumberFormat="1" applyFont="1" applyFill="1" applyBorder="1" applyAlignment="1">
      <alignment horizontal="left" vertical="center" wrapText="1" indent="1"/>
    </xf>
    <xf numFmtId="164" fontId="16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57" applyNumberFormat="1" applyFont="1" applyFill="1" applyBorder="1" applyAlignment="1" applyProtection="1">
      <alignment horizontal="centerContinuous" vertical="center"/>
      <protection/>
    </xf>
    <xf numFmtId="0" fontId="3" fillId="0" borderId="0" xfId="57" applyFill="1">
      <alignment/>
      <protection/>
    </xf>
    <xf numFmtId="0" fontId="8" fillId="0" borderId="32" xfId="57" applyFont="1" applyFill="1" applyBorder="1" applyAlignment="1" applyProtection="1">
      <alignment horizontal="center" vertical="center" wrapText="1"/>
      <protection/>
    </xf>
    <xf numFmtId="0" fontId="16" fillId="0" borderId="0" xfId="57" applyFont="1" applyFill="1">
      <alignment/>
      <protection/>
    </xf>
    <xf numFmtId="164" fontId="14" fillId="0" borderId="34" xfId="57" applyNumberFormat="1" applyFont="1" applyFill="1" applyBorder="1" applyAlignment="1" applyProtection="1">
      <alignment horizontal="right" vertical="center" wrapText="1"/>
      <protection/>
    </xf>
    <xf numFmtId="164" fontId="14" fillId="0" borderId="31" xfId="57" applyNumberFormat="1" applyFont="1" applyFill="1" applyBorder="1" applyAlignment="1" applyProtection="1">
      <alignment horizontal="right" vertical="center" wrapText="1"/>
      <protection/>
    </xf>
    <xf numFmtId="164" fontId="14" fillId="0" borderId="32" xfId="57" applyNumberFormat="1" applyFont="1" applyFill="1" applyBorder="1" applyAlignment="1" applyProtection="1">
      <alignment horizontal="right" vertical="center" wrapText="1"/>
      <protection/>
    </xf>
    <xf numFmtId="164" fontId="17" fillId="0" borderId="15" xfId="57" applyNumberFormat="1" applyFont="1" applyFill="1" applyBorder="1" applyAlignment="1" applyProtection="1">
      <alignment horizontal="right" vertical="center" wrapText="1"/>
      <protection/>
    </xf>
    <xf numFmtId="164" fontId="17" fillId="0" borderId="16" xfId="57" applyNumberFormat="1" applyFont="1" applyFill="1" applyBorder="1" applyAlignment="1" applyProtection="1">
      <alignment horizontal="right" vertical="center" wrapText="1"/>
      <protection/>
    </xf>
    <xf numFmtId="164" fontId="18" fillId="0" borderId="31" xfId="57" applyNumberFormat="1" applyFont="1" applyFill="1" applyBorder="1" applyAlignment="1" applyProtection="1">
      <alignment horizontal="right" vertical="center" wrapText="1"/>
      <protection/>
    </xf>
    <xf numFmtId="164" fontId="18" fillId="0" borderId="32" xfId="57" applyNumberFormat="1" applyFont="1" applyFill="1" applyBorder="1" applyAlignment="1" applyProtection="1">
      <alignment horizontal="right" vertical="center" wrapText="1"/>
      <protection/>
    </xf>
    <xf numFmtId="164" fontId="14" fillId="0" borderId="34" xfId="57" applyNumberFormat="1" applyFont="1" applyFill="1" applyBorder="1" applyAlignment="1" applyProtection="1">
      <alignment vertical="center" wrapText="1"/>
      <protection/>
    </xf>
    <xf numFmtId="164" fontId="14" fillId="0" borderId="35" xfId="57" applyNumberFormat="1" applyFont="1" applyFill="1" applyBorder="1" applyAlignment="1" applyProtection="1">
      <alignment vertical="center" wrapText="1"/>
      <protection/>
    </xf>
    <xf numFmtId="164" fontId="14" fillId="0" borderId="31" xfId="57" applyNumberFormat="1" applyFont="1" applyFill="1" applyBorder="1" applyAlignment="1" applyProtection="1">
      <alignment vertical="center" wrapText="1"/>
      <protection/>
    </xf>
    <xf numFmtId="164" fontId="14" fillId="0" borderId="32" xfId="57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0" xfId="0" applyNumberFormat="1" applyFont="1" applyFill="1" applyBorder="1" applyAlignment="1">
      <alignment horizontal="centerContinuous" vertical="center" wrapText="1"/>
    </xf>
    <xf numFmtId="164" fontId="8" fillId="0" borderId="31" xfId="0" applyNumberFormat="1" applyFont="1" applyFill="1" applyBorder="1" applyAlignment="1">
      <alignment horizontal="centerContinuous" vertical="center" wrapText="1"/>
    </xf>
    <xf numFmtId="164" fontId="8" fillId="0" borderId="32" xfId="0" applyNumberFormat="1" applyFont="1" applyFill="1" applyBorder="1" applyAlignment="1">
      <alignment horizontal="centerContinuous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>
      <alignment vertical="center" wrapText="1"/>
    </xf>
    <xf numFmtId="164" fontId="14" fillId="0" borderId="3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8" fillId="0" borderId="3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33" xfId="58" applyFont="1" applyFill="1" applyBorder="1" applyAlignment="1" applyProtection="1">
      <alignment horizontal="center" vertical="center" wrapText="1"/>
      <protection/>
    </xf>
    <xf numFmtId="0" fontId="8" fillId="0" borderId="34" xfId="58" applyFont="1" applyFill="1" applyBorder="1" applyAlignment="1" applyProtection="1">
      <alignment horizontal="center" vertical="center"/>
      <protection/>
    </xf>
    <xf numFmtId="0" fontId="8" fillId="0" borderId="35" xfId="58" applyFont="1" applyFill="1" applyBorder="1" applyAlignment="1" applyProtection="1">
      <alignment horizontal="center" vertical="center"/>
      <protection/>
    </xf>
    <xf numFmtId="0" fontId="3" fillId="0" borderId="0" xfId="58" applyFill="1" applyProtection="1">
      <alignment/>
      <protection/>
    </xf>
    <xf numFmtId="0" fontId="16" fillId="0" borderId="30" xfId="58" applyFont="1" applyFill="1" applyBorder="1" applyAlignment="1" applyProtection="1">
      <alignment horizontal="left" vertical="center" indent="1"/>
      <protection/>
    </xf>
    <xf numFmtId="0" fontId="3" fillId="0" borderId="0" xfId="58" applyFill="1" applyAlignment="1" applyProtection="1">
      <alignment vertical="center"/>
      <protection/>
    </xf>
    <xf numFmtId="0" fontId="16" fillId="0" borderId="21" xfId="58" applyFont="1" applyFill="1" applyBorder="1" applyAlignment="1" applyProtection="1">
      <alignment horizontal="left" vertical="center" indent="1"/>
      <protection/>
    </xf>
    <xf numFmtId="0" fontId="16" fillId="0" borderId="11" xfId="58" applyFont="1" applyFill="1" applyBorder="1" applyAlignment="1" applyProtection="1">
      <alignment horizontal="left" vertical="center" indent="1"/>
      <protection/>
    </xf>
    <xf numFmtId="164" fontId="16" fillId="0" borderId="11" xfId="58" applyNumberFormat="1" applyFont="1" applyFill="1" applyBorder="1" applyAlignment="1" applyProtection="1">
      <alignment vertical="center"/>
      <protection locked="0"/>
    </xf>
    <xf numFmtId="164" fontId="16" fillId="0" borderId="27" xfId="58" applyNumberFormat="1" applyFont="1" applyFill="1" applyBorder="1" applyAlignment="1" applyProtection="1">
      <alignment vertical="center"/>
      <protection/>
    </xf>
    <xf numFmtId="0" fontId="16" fillId="0" borderId="22" xfId="58" applyFont="1" applyFill="1" applyBorder="1" applyAlignment="1" applyProtection="1">
      <alignment horizontal="left" vertical="center" indent="1"/>
      <protection/>
    </xf>
    <xf numFmtId="0" fontId="16" fillId="0" borderId="12" xfId="58" applyFont="1" applyFill="1" applyBorder="1" applyAlignment="1" applyProtection="1">
      <alignment horizontal="left" vertical="center" indent="1"/>
      <protection locked="0"/>
    </xf>
    <xf numFmtId="164" fontId="16" fillId="0" borderId="12" xfId="58" applyNumberFormat="1" applyFont="1" applyFill="1" applyBorder="1" applyAlignment="1" applyProtection="1">
      <alignment vertical="center"/>
      <protection locked="0"/>
    </xf>
    <xf numFmtId="164" fontId="16" fillId="0" borderId="13" xfId="58" applyNumberFormat="1" applyFont="1" applyFill="1" applyBorder="1" applyAlignment="1" applyProtection="1">
      <alignment vertical="center"/>
      <protection/>
    </xf>
    <xf numFmtId="0" fontId="3" fillId="0" borderId="0" xfId="58" applyFill="1" applyAlignment="1" applyProtection="1">
      <alignment vertical="center"/>
      <protection locked="0"/>
    </xf>
    <xf numFmtId="0" fontId="16" fillId="0" borderId="15" xfId="58" applyFont="1" applyFill="1" applyBorder="1" applyAlignment="1" applyProtection="1">
      <alignment horizontal="left" vertical="center" indent="1"/>
      <protection locked="0"/>
    </xf>
    <xf numFmtId="164" fontId="16" fillId="0" borderId="15" xfId="58" applyNumberFormat="1" applyFont="1" applyFill="1" applyBorder="1" applyAlignment="1" applyProtection="1">
      <alignment vertical="center"/>
      <protection locked="0"/>
    </xf>
    <xf numFmtId="164" fontId="16" fillId="0" borderId="16" xfId="58" applyNumberFormat="1" applyFont="1" applyFill="1" applyBorder="1" applyAlignment="1" applyProtection="1">
      <alignment vertical="center"/>
      <protection/>
    </xf>
    <xf numFmtId="0" fontId="16" fillId="0" borderId="20" xfId="58" applyFont="1" applyFill="1" applyBorder="1" applyAlignment="1" applyProtection="1">
      <alignment horizontal="left" vertical="center" indent="1"/>
      <protection locked="0"/>
    </xf>
    <xf numFmtId="164" fontId="16" fillId="0" borderId="20" xfId="58" applyNumberFormat="1" applyFont="1" applyFill="1" applyBorder="1" applyAlignment="1" applyProtection="1">
      <alignment vertical="center"/>
      <protection locked="0"/>
    </xf>
    <xf numFmtId="164" fontId="16" fillId="0" borderId="17" xfId="58" applyNumberFormat="1" applyFont="1" applyFill="1" applyBorder="1" applyAlignment="1" applyProtection="1">
      <alignment vertical="center"/>
      <protection/>
    </xf>
    <xf numFmtId="164" fontId="14" fillId="0" borderId="31" xfId="58" applyNumberFormat="1" applyFont="1" applyFill="1" applyBorder="1" applyAlignment="1" applyProtection="1">
      <alignment vertical="center"/>
      <protection/>
    </xf>
    <xf numFmtId="164" fontId="14" fillId="0" borderId="32" xfId="58" applyNumberFormat="1" applyFont="1" applyFill="1" applyBorder="1" applyAlignment="1" applyProtection="1">
      <alignment vertical="center"/>
      <protection/>
    </xf>
    <xf numFmtId="0" fontId="16" fillId="0" borderId="24" xfId="58" applyFont="1" applyFill="1" applyBorder="1" applyAlignment="1" applyProtection="1">
      <alignment horizontal="left" vertical="center" indent="1"/>
      <protection/>
    </xf>
    <xf numFmtId="0" fontId="14" fillId="0" borderId="30" xfId="58" applyFont="1" applyFill="1" applyBorder="1" applyAlignment="1" applyProtection="1">
      <alignment horizontal="left" vertical="center" indent="1"/>
      <protection/>
    </xf>
    <xf numFmtId="0" fontId="14" fillId="0" borderId="30" xfId="58" applyFont="1" applyFill="1" applyBorder="1" applyAlignment="1" applyProtection="1">
      <alignment horizontal="center"/>
      <protection/>
    </xf>
    <xf numFmtId="164" fontId="14" fillId="0" borderId="31" xfId="58" applyNumberFormat="1" applyFont="1" applyFill="1" applyBorder="1" applyProtection="1">
      <alignment/>
      <protection/>
    </xf>
    <xf numFmtId="164" fontId="14" fillId="0" borderId="32" xfId="58" applyNumberFormat="1" applyFont="1" applyFill="1" applyBorder="1" applyProtection="1">
      <alignment/>
      <protection/>
    </xf>
    <xf numFmtId="0" fontId="3" fillId="0" borderId="0" xfId="58" applyFill="1" applyProtection="1">
      <alignment/>
      <protection locked="0"/>
    </xf>
    <xf numFmtId="0" fontId="0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 locked="0"/>
    </xf>
    <xf numFmtId="0" fontId="7" fillId="0" borderId="0" xfId="58" applyFont="1" applyFill="1" applyProtection="1">
      <alignment/>
      <protection locked="0"/>
    </xf>
    <xf numFmtId="0" fontId="8" fillId="0" borderId="30" xfId="58" applyFont="1" applyFill="1" applyBorder="1" applyAlignment="1" applyProtection="1">
      <alignment horizontal="center" vertical="center" wrapText="1"/>
      <protection/>
    </xf>
    <xf numFmtId="0" fontId="8" fillId="0" borderId="32" xfId="58" applyFont="1" applyFill="1" applyBorder="1" applyAlignment="1" applyProtection="1">
      <alignment horizontal="center" vertical="center"/>
      <protection/>
    </xf>
    <xf numFmtId="0" fontId="8" fillId="0" borderId="38" xfId="58" applyFont="1" applyFill="1" applyBorder="1" applyAlignment="1" applyProtection="1">
      <alignment horizontal="center" vertical="center"/>
      <protection/>
    </xf>
    <xf numFmtId="0" fontId="8" fillId="0" borderId="31" xfId="58" applyFont="1" applyFill="1" applyBorder="1" applyAlignment="1" applyProtection="1">
      <alignment horizontal="center" vertical="center"/>
      <protection/>
    </xf>
    <xf numFmtId="0" fontId="8" fillId="0" borderId="39" xfId="58" applyFont="1" applyFill="1" applyBorder="1" applyAlignment="1" applyProtection="1">
      <alignment horizontal="center" vertical="center"/>
      <protection/>
    </xf>
    <xf numFmtId="0" fontId="8" fillId="0" borderId="40" xfId="58" applyFont="1" applyFill="1" applyBorder="1" applyAlignment="1" applyProtection="1">
      <alignment horizontal="center" vertical="center"/>
      <protection/>
    </xf>
    <xf numFmtId="0" fontId="0" fillId="0" borderId="0" xfId="58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 horizontal="center"/>
    </xf>
    <xf numFmtId="164" fontId="16" fillId="0" borderId="17" xfId="57" applyNumberFormat="1" applyFont="1" applyFill="1" applyBorder="1" applyAlignment="1" applyProtection="1">
      <alignment horizontal="right" vertical="center" wrapText="1"/>
      <protection locked="0"/>
    </xf>
    <xf numFmtId="164" fontId="14" fillId="18" borderId="31" xfId="0" applyNumberFormat="1" applyFont="1" applyFill="1" applyBorder="1" applyAlignment="1" applyProtection="1">
      <alignment vertical="center" wrapText="1"/>
      <protection/>
    </xf>
    <xf numFmtId="164" fontId="8" fillId="18" borderId="31" xfId="0" applyNumberFormat="1" applyFont="1" applyFill="1" applyBorder="1" applyAlignment="1" applyProtection="1">
      <alignment vertical="center" wrapText="1"/>
      <protection/>
    </xf>
    <xf numFmtId="0" fontId="16" fillId="0" borderId="29" xfId="58" applyFont="1" applyFill="1" applyBorder="1" applyAlignment="1" applyProtection="1">
      <alignment vertical="center"/>
      <protection locked="0"/>
    </xf>
    <xf numFmtId="164" fontId="16" fillId="0" borderId="42" xfId="58" applyNumberFormat="1" applyFont="1" applyFill="1" applyBorder="1" applyAlignment="1" applyProtection="1">
      <alignment vertical="center"/>
      <protection locked="0"/>
    </xf>
    <xf numFmtId="164" fontId="16" fillId="0" borderId="43" xfId="58" applyNumberFormat="1" applyFont="1" applyFill="1" applyBorder="1" applyAlignment="1" applyProtection="1">
      <alignment vertical="center"/>
      <protection/>
    </xf>
    <xf numFmtId="0" fontId="16" fillId="0" borderId="13" xfId="58" applyFont="1" applyFill="1" applyBorder="1" applyAlignment="1" applyProtection="1">
      <alignment vertical="center"/>
      <protection locked="0"/>
    </xf>
    <xf numFmtId="164" fontId="16" fillId="0" borderId="19" xfId="58" applyNumberFormat="1" applyFont="1" applyFill="1" applyBorder="1" applyAlignment="1" applyProtection="1">
      <alignment vertical="center"/>
      <protection locked="0"/>
    </xf>
    <xf numFmtId="164" fontId="16" fillId="0" borderId="36" xfId="58" applyNumberFormat="1" applyFont="1" applyFill="1" applyBorder="1" applyAlignment="1" applyProtection="1">
      <alignment vertical="center"/>
      <protection locked="0"/>
    </xf>
    <xf numFmtId="164" fontId="16" fillId="0" borderId="44" xfId="58" applyNumberFormat="1" applyFont="1" applyFill="1" applyBorder="1" applyAlignment="1" applyProtection="1">
      <alignment vertical="center"/>
      <protection/>
    </xf>
    <xf numFmtId="0" fontId="16" fillId="0" borderId="17" xfId="58" applyFont="1" applyFill="1" applyBorder="1" applyAlignment="1" applyProtection="1">
      <alignment vertical="center"/>
      <protection locked="0"/>
    </xf>
    <xf numFmtId="164" fontId="16" fillId="0" borderId="45" xfId="58" applyNumberFormat="1" applyFont="1" applyFill="1" applyBorder="1" applyAlignment="1" applyProtection="1">
      <alignment vertical="center"/>
      <protection locked="0"/>
    </xf>
    <xf numFmtId="164" fontId="16" fillId="0" borderId="46" xfId="58" applyNumberFormat="1" applyFont="1" applyFill="1" applyBorder="1" applyAlignment="1" applyProtection="1">
      <alignment vertical="center"/>
      <protection locked="0"/>
    </xf>
    <xf numFmtId="164" fontId="16" fillId="0" borderId="47" xfId="58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164" fontId="14" fillId="0" borderId="38" xfId="58" applyNumberFormat="1" applyFont="1" applyFill="1" applyBorder="1" applyAlignment="1" applyProtection="1">
      <alignment vertical="center"/>
      <protection/>
    </xf>
    <xf numFmtId="164" fontId="14" fillId="0" borderId="39" xfId="58" applyNumberFormat="1" applyFont="1" applyFill="1" applyBorder="1" applyAlignment="1" applyProtection="1">
      <alignment vertical="center"/>
      <protection/>
    </xf>
    <xf numFmtId="164" fontId="14" fillId="0" borderId="40" xfId="58" applyNumberFormat="1" applyFont="1" applyFill="1" applyBorder="1" applyAlignment="1" applyProtection="1">
      <alignment vertical="center"/>
      <protection/>
    </xf>
    <xf numFmtId="164" fontId="14" fillId="0" borderId="14" xfId="0" applyNumberFormat="1" applyFont="1" applyFill="1" applyBorder="1" applyAlignment="1" applyProtection="1">
      <alignment horizontal="right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/>
      <protection/>
    </xf>
    <xf numFmtId="164" fontId="1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7" applyFill="1" applyBorder="1">
      <alignment/>
      <protection/>
    </xf>
    <xf numFmtId="164" fontId="17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57" applyNumberFormat="1" applyFont="1" applyFill="1" applyBorder="1" applyAlignment="1" applyProtection="1">
      <alignment horizontal="right" vertical="center" wrapText="1"/>
      <protection/>
    </xf>
    <xf numFmtId="164" fontId="16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0" xfId="57" applyNumberFormat="1" applyFont="1" applyFill="1" applyBorder="1" applyAlignment="1" applyProtection="1">
      <alignment horizontal="right" vertical="center" wrapText="1"/>
      <protection/>
    </xf>
    <xf numFmtId="164" fontId="18" fillId="0" borderId="0" xfId="57" applyNumberFormat="1" applyFont="1" applyFill="1" applyBorder="1" applyAlignment="1" applyProtection="1">
      <alignment horizontal="right" vertical="center" wrapText="1"/>
      <protection/>
    </xf>
    <xf numFmtId="164" fontId="17" fillId="0" borderId="0" xfId="57" applyNumberFormat="1" applyFont="1" applyFill="1" applyBorder="1" applyAlignment="1" applyProtection="1">
      <alignment horizontal="right" vertical="center" wrapText="1"/>
      <protection/>
    </xf>
    <xf numFmtId="164" fontId="14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7" applyNumberFormat="1" applyFont="1" applyFill="1" applyBorder="1" applyAlignment="1" applyProtection="1">
      <alignment vertical="center" wrapText="1"/>
      <protection locked="0"/>
    </xf>
    <xf numFmtId="164" fontId="16" fillId="0" borderId="48" xfId="57" applyNumberFormat="1" applyFont="1" applyFill="1" applyBorder="1" applyAlignment="1" applyProtection="1">
      <alignment vertical="center" wrapText="1"/>
      <protection locked="0"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6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9" xfId="57" applyNumberFormat="1" applyFont="1" applyFill="1" applyBorder="1" applyAlignment="1" applyProtection="1">
      <alignment vertical="center" wrapText="1"/>
      <protection locked="0"/>
    </xf>
    <xf numFmtId="164" fontId="16" fillId="0" borderId="46" xfId="57" applyNumberFormat="1" applyFont="1" applyFill="1" applyBorder="1" applyAlignment="1" applyProtection="1">
      <alignment vertical="center" wrapText="1"/>
      <protection locked="0"/>
    </xf>
    <xf numFmtId="164" fontId="16" fillId="0" borderId="22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7" applyFont="1" applyFill="1">
      <alignment/>
      <protection/>
    </xf>
    <xf numFmtId="0" fontId="16" fillId="0" borderId="12" xfId="57" applyFont="1" applyFill="1" applyBorder="1" applyAlignment="1" applyProtection="1">
      <alignment horizontal="left"/>
      <protection/>
    </xf>
    <xf numFmtId="164" fontId="16" fillId="0" borderId="27" xfId="57" applyNumberFormat="1" applyFont="1" applyFill="1" applyBorder="1" applyAlignment="1" applyProtection="1">
      <alignment vertical="center" wrapText="1"/>
      <protection locked="0"/>
    </xf>
    <xf numFmtId="0" fontId="16" fillId="0" borderId="13" xfId="58" applyFont="1" applyFill="1" applyBorder="1" applyAlignment="1" applyProtection="1">
      <alignment vertical="center" wrapText="1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37" fontId="12" fillId="0" borderId="31" xfId="0" applyNumberFormat="1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 vertical="center" wrapText="1"/>
    </xf>
    <xf numFmtId="37" fontId="12" fillId="0" borderId="32" xfId="0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37" fontId="20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7" fontId="20" fillId="0" borderId="16" xfId="0" applyNumberFormat="1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 wrapText="1"/>
    </xf>
    <xf numFmtId="37" fontId="20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50" xfId="0" applyFont="1" applyBorder="1" applyAlignment="1">
      <alignment wrapText="1"/>
    </xf>
    <xf numFmtId="37" fontId="20" fillId="0" borderId="50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7" fontId="20" fillId="0" borderId="27" xfId="0" applyNumberFormat="1" applyFont="1" applyBorder="1" applyAlignment="1">
      <alignment/>
    </xf>
    <xf numFmtId="0" fontId="20" fillId="0" borderId="30" xfId="0" applyFont="1" applyBorder="1" applyAlignment="1">
      <alignment horizontal="center"/>
    </xf>
    <xf numFmtId="0" fontId="12" fillId="0" borderId="14" xfId="0" applyFont="1" applyBorder="1" applyAlignment="1">
      <alignment wrapText="1"/>
    </xf>
    <xf numFmtId="37" fontId="20" fillId="0" borderId="14" xfId="0" applyNumberFormat="1" applyFont="1" applyBorder="1" applyAlignment="1">
      <alignment/>
    </xf>
    <xf numFmtId="37" fontId="12" fillId="0" borderId="32" xfId="0" applyNumberFormat="1" applyFont="1" applyBorder="1" applyAlignment="1">
      <alignment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1" xfId="0" applyNumberFormat="1" applyFont="1" applyFill="1" applyBorder="1" applyAlignment="1">
      <alignment horizontal="right" vertical="center" wrapText="1" indent="1"/>
    </xf>
    <xf numFmtId="164" fontId="14" fillId="0" borderId="51" xfId="0" applyNumberFormat="1" applyFont="1" applyFill="1" applyBorder="1" applyAlignment="1">
      <alignment horizontal="left" vertical="center" wrapText="1" indent="1"/>
    </xf>
    <xf numFmtId="0" fontId="16" fillId="0" borderId="26" xfId="57" applyFont="1" applyFill="1" applyBorder="1" applyAlignment="1" applyProtection="1">
      <alignment horizontal="left" vertical="center" wrapText="1" indent="1"/>
      <protection/>
    </xf>
    <xf numFmtId="0" fontId="16" fillId="0" borderId="22" xfId="57" applyFont="1" applyFill="1" applyBorder="1" applyAlignment="1" applyProtection="1">
      <alignment horizontal="left" vertical="center" wrapText="1" indent="1"/>
      <protection/>
    </xf>
    <xf numFmtId="164" fontId="8" fillId="0" borderId="0" xfId="57" applyNumberFormat="1" applyFont="1" applyFill="1" applyBorder="1" applyAlignment="1" applyProtection="1">
      <alignment horizontal="centerContinuous" vertical="center"/>
      <protection/>
    </xf>
    <xf numFmtId="0" fontId="13" fillId="0" borderId="0" xfId="57" applyFont="1" applyFill="1">
      <alignment/>
      <protection/>
    </xf>
    <xf numFmtId="0" fontId="4" fillId="0" borderId="30" xfId="57" applyFont="1" applyFill="1" applyBorder="1" applyAlignment="1" applyProtection="1">
      <alignment horizontal="center" vertical="center" wrapText="1"/>
      <protection/>
    </xf>
    <xf numFmtId="0" fontId="4" fillId="0" borderId="31" xfId="57" applyFont="1" applyFill="1" applyBorder="1" applyAlignment="1" applyProtection="1">
      <alignment horizontal="center" vertical="center" wrapText="1"/>
      <protection/>
    </xf>
    <xf numFmtId="0" fontId="4" fillId="0" borderId="39" xfId="57" applyFont="1" applyFill="1" applyBorder="1" applyAlignment="1" applyProtection="1">
      <alignment horizontal="center" vertical="center" wrapText="1"/>
      <protection/>
    </xf>
    <xf numFmtId="0" fontId="4" fillId="0" borderId="32" xfId="57" applyFont="1" applyFill="1" applyBorder="1" applyAlignment="1">
      <alignment horizontal="center"/>
      <protection/>
    </xf>
    <xf numFmtId="0" fontId="4" fillId="0" borderId="30" xfId="57" applyFont="1" applyFill="1" applyBorder="1" applyAlignment="1" applyProtection="1">
      <alignment horizontal="left" vertical="center" wrapText="1" indent="1"/>
      <protection/>
    </xf>
    <xf numFmtId="0" fontId="4" fillId="0" borderId="31" xfId="57" applyFont="1" applyFill="1" applyBorder="1" applyAlignment="1" applyProtection="1">
      <alignment horizontal="left" vertical="center" wrapText="1" indent="1"/>
      <protection/>
    </xf>
    <xf numFmtId="164" fontId="4" fillId="0" borderId="31" xfId="57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57" applyFont="1" applyFill="1" applyBorder="1" applyAlignment="1" applyProtection="1">
      <alignment horizontal="left" vertical="center" wrapText="1" indent="1"/>
      <protection/>
    </xf>
    <xf numFmtId="164" fontId="0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57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57" applyFont="1" applyFill="1" applyBorder="1" applyAlignment="1" applyProtection="1">
      <alignment horizontal="left" vertical="center" wrapText="1" indent="1"/>
      <protection/>
    </xf>
    <xf numFmtId="164" fontId="0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0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57" applyNumberFormat="1" applyFont="1" applyFill="1" applyBorder="1" applyAlignment="1" applyProtection="1">
      <alignment horizontal="right" vertical="center" wrapText="1"/>
      <protection/>
    </xf>
    <xf numFmtId="164" fontId="4" fillId="0" borderId="39" xfId="57" applyNumberFormat="1" applyFont="1" applyFill="1" applyBorder="1" applyAlignment="1" applyProtection="1">
      <alignment horizontal="right" vertical="center" wrapText="1"/>
      <protection/>
    </xf>
    <xf numFmtId="0" fontId="4" fillId="0" borderId="0" xfId="57" applyFont="1" applyFill="1" applyBorder="1" applyAlignment="1" applyProtection="1">
      <alignment horizontal="left" vertical="center" wrapText="1" indent="1"/>
      <protection/>
    </xf>
    <xf numFmtId="164" fontId="4" fillId="0" borderId="0" xfId="57" applyNumberFormat="1" applyFont="1" applyFill="1" applyBorder="1" applyAlignment="1" applyProtection="1">
      <alignment horizontal="right" vertical="center" wrapText="1"/>
      <protection/>
    </xf>
    <xf numFmtId="10" fontId="4" fillId="0" borderId="0" xfId="57" applyNumberFormat="1" applyFont="1" applyFill="1" applyBorder="1">
      <alignment/>
      <protection/>
    </xf>
    <xf numFmtId="0" fontId="0" fillId="0" borderId="0" xfId="57" applyFont="1" applyFill="1" applyProtection="1">
      <alignment/>
      <protection/>
    </xf>
    <xf numFmtId="164" fontId="4" fillId="0" borderId="10" xfId="57" applyNumberFormat="1" applyFont="1" applyFill="1" applyBorder="1" applyAlignment="1" applyProtection="1">
      <alignment horizontal="centerContinuous" vertical="center"/>
      <protection/>
    </xf>
    <xf numFmtId="49" fontId="4" fillId="0" borderId="27" xfId="57" applyNumberFormat="1" applyFont="1" applyFill="1" applyBorder="1" applyAlignment="1">
      <alignment horizontal="center"/>
      <protection/>
    </xf>
    <xf numFmtId="0" fontId="4" fillId="0" borderId="33" xfId="57" applyFont="1" applyFill="1" applyBorder="1" applyAlignment="1" applyProtection="1">
      <alignment horizontal="left" vertical="center" wrapText="1" indent="1"/>
      <protection/>
    </xf>
    <xf numFmtId="0" fontId="4" fillId="0" borderId="34" xfId="57" applyFont="1" applyFill="1" applyBorder="1" applyAlignment="1" applyProtection="1">
      <alignment vertical="center" wrapText="1"/>
      <protection/>
    </xf>
    <xf numFmtId="164" fontId="4" fillId="0" borderId="34" xfId="57" applyNumberFormat="1" applyFont="1" applyFill="1" applyBorder="1" applyAlignment="1" applyProtection="1">
      <alignment vertical="center" wrapText="1"/>
      <protection/>
    </xf>
    <xf numFmtId="49" fontId="0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18" xfId="57" applyFont="1" applyFill="1" applyBorder="1" applyAlignment="1" applyProtection="1">
      <alignment horizontal="left" vertical="center" wrapText="1" indent="1"/>
      <protection/>
    </xf>
    <xf numFmtId="164" fontId="0" fillId="0" borderId="18" xfId="57" applyNumberFormat="1" applyFont="1" applyFill="1" applyBorder="1" applyAlignment="1" applyProtection="1">
      <alignment vertical="center" wrapText="1"/>
      <protection locked="0"/>
    </xf>
    <xf numFmtId="164" fontId="0" fillId="0" borderId="49" xfId="57" applyNumberFormat="1" applyFont="1" applyFill="1" applyBorder="1" applyAlignment="1" applyProtection="1">
      <alignment vertical="center" wrapText="1"/>
      <protection locked="0"/>
    </xf>
    <xf numFmtId="164" fontId="0" fillId="0" borderId="12" xfId="57" applyNumberFormat="1" applyFont="1" applyFill="1" applyBorder="1" applyAlignment="1" applyProtection="1">
      <alignment vertical="center" wrapText="1"/>
      <protection locked="0"/>
    </xf>
    <xf numFmtId="164" fontId="0" fillId="0" borderId="36" xfId="57" applyNumberFormat="1" applyFont="1" applyFill="1" applyBorder="1" applyAlignment="1" applyProtection="1">
      <alignment vertical="center" wrapText="1"/>
      <protection locked="0"/>
    </xf>
    <xf numFmtId="164" fontId="0" fillId="0" borderId="20" xfId="57" applyNumberFormat="1" applyFont="1" applyFill="1" applyBorder="1" applyAlignment="1" applyProtection="1">
      <alignment vertical="center" wrapText="1"/>
      <protection locked="0"/>
    </xf>
    <xf numFmtId="164" fontId="0" fillId="0" borderId="46" xfId="57" applyNumberFormat="1" applyFont="1" applyFill="1" applyBorder="1" applyAlignment="1" applyProtection="1">
      <alignment vertical="center" wrapText="1"/>
      <protection locked="0"/>
    </xf>
    <xf numFmtId="0" fontId="0" fillId="0" borderId="19" xfId="57" applyFont="1" applyFill="1" applyBorder="1" applyAlignment="1" applyProtection="1">
      <alignment horizontal="left" vertical="center" wrapText="1" indent="1"/>
      <protection/>
    </xf>
    <xf numFmtId="164" fontId="0" fillId="0" borderId="15" xfId="57" applyNumberFormat="1" applyFont="1" applyFill="1" applyBorder="1" applyAlignment="1" applyProtection="1">
      <alignment vertical="center" wrapText="1"/>
      <protection locked="0"/>
    </xf>
    <xf numFmtId="164" fontId="0" fillId="0" borderId="48" xfId="57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>
      <alignment horizontal="left" vertical="center" wrapText="1" indent="1"/>
    </xf>
    <xf numFmtId="164" fontId="4" fillId="18" borderId="31" xfId="57" applyNumberFormat="1" applyFont="1" applyFill="1" applyBorder="1" applyAlignment="1" applyProtection="1">
      <alignment horizontal="right" vertical="center" wrapText="1"/>
      <protection/>
    </xf>
    <xf numFmtId="164" fontId="4" fillId="0" borderId="39" xfId="57" applyNumberFormat="1" applyFont="1" applyFill="1" applyBorder="1" applyAlignment="1" applyProtection="1">
      <alignment vertical="center" wrapText="1"/>
      <protection locked="0"/>
    </xf>
    <xf numFmtId="0" fontId="4" fillId="0" borderId="31" xfId="57" applyFont="1" applyFill="1" applyBorder="1" applyAlignment="1" applyProtection="1">
      <alignment vertical="center" wrapText="1"/>
      <protection/>
    </xf>
    <xf numFmtId="164" fontId="4" fillId="0" borderId="31" xfId="57" applyNumberFormat="1" applyFont="1" applyFill="1" applyBorder="1" applyAlignment="1" applyProtection="1">
      <alignment vertical="center" wrapText="1"/>
      <protection/>
    </xf>
    <xf numFmtId="164" fontId="4" fillId="0" borderId="39" xfId="57" applyNumberFormat="1" applyFont="1" applyFill="1" applyBorder="1" applyAlignment="1" applyProtection="1">
      <alignment vertical="center" wrapText="1"/>
      <protection/>
    </xf>
    <xf numFmtId="0" fontId="0" fillId="0" borderId="20" xfId="57" applyFont="1" applyFill="1" applyBorder="1" applyAlignment="1" applyProtection="1">
      <alignment horizontal="left" vertical="center" wrapText="1" indent="1"/>
      <protection/>
    </xf>
    <xf numFmtId="0" fontId="4" fillId="0" borderId="25" xfId="57" applyFont="1" applyFill="1" applyBorder="1" applyAlignment="1" applyProtection="1">
      <alignment horizontal="center" vertical="center" wrapText="1"/>
      <protection/>
    </xf>
    <xf numFmtId="0" fontId="4" fillId="0" borderId="46" xfId="57" applyFont="1" applyFill="1" applyBorder="1" applyAlignment="1" applyProtection="1">
      <alignment horizontal="center" vertical="center" wrapText="1"/>
      <protection/>
    </xf>
    <xf numFmtId="49" fontId="0" fillId="0" borderId="21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7" applyFont="1" applyFill="1" applyBorder="1" applyAlignment="1" applyProtection="1">
      <alignment horizontal="left" vertical="center" wrapText="1" indent="1"/>
      <protection/>
    </xf>
    <xf numFmtId="164" fontId="0" fillId="0" borderId="11" xfId="57" applyNumberFormat="1" applyFont="1" applyFill="1" applyBorder="1" applyAlignment="1" applyProtection="1">
      <alignment horizontal="right" vertical="center" wrapText="1"/>
      <protection locked="0"/>
    </xf>
    <xf numFmtId="164" fontId="0" fillId="0" borderId="52" xfId="57" applyNumberFormat="1" applyFont="1" applyFill="1" applyBorder="1" applyAlignment="1" applyProtection="1">
      <alignment horizontal="right" vertical="center" wrapText="1"/>
      <protection locked="0"/>
    </xf>
    <xf numFmtId="49" fontId="0" fillId="0" borderId="25" xfId="57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57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2" xfId="57" applyFont="1" applyFill="1" applyBorder="1" applyAlignment="1" applyProtection="1">
      <alignment horizontal="left" vertical="center" wrapText="1" indent="1"/>
      <protection/>
    </xf>
    <xf numFmtId="164" fontId="0" fillId="0" borderId="50" xfId="57" applyNumberFormat="1" applyFont="1" applyFill="1" applyBorder="1" applyAlignment="1" applyProtection="1">
      <alignment vertical="center" wrapText="1"/>
      <protection locked="0"/>
    </xf>
    <xf numFmtId="10" fontId="13" fillId="0" borderId="0" xfId="57" applyNumberFormat="1" applyFont="1" applyFill="1">
      <alignment/>
      <protection/>
    </xf>
    <xf numFmtId="10" fontId="0" fillId="0" borderId="0" xfId="57" applyNumberFormat="1" applyFont="1" applyFill="1">
      <alignment/>
      <protection/>
    </xf>
    <xf numFmtId="164" fontId="4" fillId="0" borderId="31" xfId="57" applyNumberFormat="1" applyFont="1" applyFill="1" applyBorder="1" applyAlignment="1" applyProtection="1">
      <alignment vertical="center" wrapText="1"/>
      <protection locked="0"/>
    </xf>
    <xf numFmtId="0" fontId="23" fillId="0" borderId="0" xfId="56" applyFont="1">
      <alignment/>
      <protection/>
    </xf>
    <xf numFmtId="37" fontId="23" fillId="0" borderId="0" xfId="56" applyNumberFormat="1" applyFont="1" applyAlignment="1">
      <alignment horizontal="right"/>
      <protection/>
    </xf>
    <xf numFmtId="4" fontId="23" fillId="0" borderId="0" xfId="56" applyNumberFormat="1" applyFont="1" applyAlignment="1">
      <alignment horizontal="right"/>
      <protection/>
    </xf>
    <xf numFmtId="37" fontId="23" fillId="0" borderId="0" xfId="56" applyNumberFormat="1" applyFont="1" applyBorder="1" applyAlignment="1">
      <alignment horizontal="right"/>
      <protection/>
    </xf>
    <xf numFmtId="37" fontId="23" fillId="0" borderId="0" xfId="56" applyNumberFormat="1" applyFont="1" applyBorder="1" applyAlignment="1">
      <alignment/>
      <protection/>
    </xf>
    <xf numFmtId="0" fontId="23" fillId="0" borderId="0" xfId="56" applyFont="1" applyBorder="1" applyAlignment="1">
      <alignment horizontal="right"/>
      <protection/>
    </xf>
    <xf numFmtId="0" fontId="24" fillId="0" borderId="53" xfId="56" applyFont="1" applyBorder="1" applyAlignment="1">
      <alignment horizontal="center"/>
      <protection/>
    </xf>
    <xf numFmtId="37" fontId="24" fillId="0" borderId="54" xfId="56" applyNumberFormat="1" applyFont="1" applyBorder="1" applyAlignment="1">
      <alignment horizontal="right"/>
      <protection/>
    </xf>
    <xf numFmtId="37" fontId="24" fillId="0" borderId="12" xfId="56" applyNumberFormat="1" applyFont="1" applyBorder="1" applyAlignment="1">
      <alignment horizontal="right"/>
      <protection/>
    </xf>
    <xf numFmtId="3" fontId="24" fillId="0" borderId="53" xfId="56" applyNumberFormat="1" applyFont="1" applyBorder="1" applyAlignment="1">
      <alignment horizontal="right"/>
      <protection/>
    </xf>
    <xf numFmtId="3" fontId="24" fillId="0" borderId="12" xfId="56" applyNumberFormat="1" applyFont="1" applyBorder="1" applyAlignment="1">
      <alignment horizontal="right"/>
      <protection/>
    </xf>
    <xf numFmtId="3" fontId="24" fillId="0" borderId="55" xfId="56" applyNumberFormat="1" applyFont="1" applyBorder="1" applyAlignment="1">
      <alignment horizontal="right"/>
      <protection/>
    </xf>
    <xf numFmtId="3" fontId="24" fillId="0" borderId="12" xfId="56" applyNumberFormat="1" applyFont="1" applyBorder="1" applyAlignment="1">
      <alignment/>
      <protection/>
    </xf>
    <xf numFmtId="3" fontId="24" fillId="0" borderId="55" xfId="56" applyNumberFormat="1" applyFont="1" applyBorder="1" applyAlignment="1">
      <alignment horizontal="center"/>
      <protection/>
    </xf>
    <xf numFmtId="0" fontId="24" fillId="0" borderId="56" xfId="56" applyFont="1" applyBorder="1" applyAlignment="1">
      <alignment horizontal="center"/>
      <protection/>
    </xf>
    <xf numFmtId="3" fontId="24" fillId="0" borderId="57" xfId="56" applyNumberFormat="1" applyFont="1" applyBorder="1" applyAlignment="1">
      <alignment horizontal="right"/>
      <protection/>
    </xf>
    <xf numFmtId="3" fontId="24" fillId="0" borderId="57" xfId="56" applyNumberFormat="1" applyFont="1" applyBorder="1" applyAlignment="1">
      <alignment horizontal="center"/>
      <protection/>
    </xf>
    <xf numFmtId="0" fontId="26" fillId="0" borderId="58" xfId="56" applyFont="1" applyBorder="1" applyAlignment="1">
      <alignment horizontal="center"/>
      <protection/>
    </xf>
    <xf numFmtId="0" fontId="26" fillId="0" borderId="59" xfId="56" applyFont="1" applyBorder="1" applyAlignment="1">
      <alignment horizontal="left"/>
      <protection/>
    </xf>
    <xf numFmtId="0" fontId="26" fillId="0" borderId="60" xfId="56" applyFont="1" applyBorder="1" applyAlignment="1">
      <alignment horizontal="left"/>
      <protection/>
    </xf>
    <xf numFmtId="0" fontId="26" fillId="0" borderId="61" xfId="56" applyFont="1" applyBorder="1" applyAlignment="1">
      <alignment horizontal="left"/>
      <protection/>
    </xf>
    <xf numFmtId="37" fontId="26" fillId="0" borderId="62" xfId="56" applyNumberFormat="1" applyFont="1" applyBorder="1" applyAlignment="1">
      <alignment horizontal="right"/>
      <protection/>
    </xf>
    <xf numFmtId="37" fontId="26" fillId="0" borderId="63" xfId="56" applyNumberFormat="1" applyFont="1" applyBorder="1" applyAlignment="1">
      <alignment horizontal="right"/>
      <protection/>
    </xf>
    <xf numFmtId="37" fontId="26" fillId="0" borderId="64" xfId="56" applyNumberFormat="1" applyFont="1" applyBorder="1" applyAlignment="1">
      <alignment horizontal="right"/>
      <protection/>
    </xf>
    <xf numFmtId="37" fontId="26" fillId="0" borderId="58" xfId="56" applyNumberFormat="1" applyFont="1" applyBorder="1" applyAlignment="1">
      <alignment horizontal="right"/>
      <protection/>
    </xf>
    <xf numFmtId="37" fontId="26" fillId="0" borderId="65" xfId="56" applyNumberFormat="1" applyFont="1" applyBorder="1" applyAlignment="1">
      <alignment horizontal="right"/>
      <protection/>
    </xf>
    <xf numFmtId="0" fontId="24" fillId="0" borderId="66" xfId="56" applyFont="1" applyBorder="1" applyAlignment="1">
      <alignment horizontal="center"/>
      <protection/>
    </xf>
    <xf numFmtId="37" fontId="24" fillId="0" borderId="67" xfId="56" applyNumberFormat="1" applyFont="1" applyBorder="1" applyAlignment="1">
      <alignment horizontal="right"/>
      <protection/>
    </xf>
    <xf numFmtId="37" fontId="24" fillId="0" borderId="68" xfId="56" applyNumberFormat="1" applyFont="1" applyBorder="1" applyAlignment="1">
      <alignment horizontal="right"/>
      <protection/>
    </xf>
    <xf numFmtId="37" fontId="24" fillId="0" borderId="69" xfId="56" applyNumberFormat="1" applyFont="1" applyBorder="1" applyAlignment="1">
      <alignment horizontal="right"/>
      <protection/>
    </xf>
    <xf numFmtId="37" fontId="24" fillId="0" borderId="70" xfId="56" applyNumberFormat="1" applyFont="1" applyBorder="1" applyAlignment="1">
      <alignment horizontal="right"/>
      <protection/>
    </xf>
    <xf numFmtId="37" fontId="24" fillId="0" borderId="11" xfId="56" applyNumberFormat="1" applyFont="1" applyBorder="1" applyAlignment="1">
      <alignment horizontal="right"/>
      <protection/>
    </xf>
    <xf numFmtId="4" fontId="24" fillId="0" borderId="71" xfId="56" applyNumberFormat="1" applyFont="1" applyBorder="1" applyAlignment="1">
      <alignment horizontal="right"/>
      <protection/>
    </xf>
    <xf numFmtId="37" fontId="24" fillId="0" borderId="72" xfId="56" applyNumberFormat="1" applyFont="1" applyBorder="1" applyAlignment="1">
      <alignment/>
      <protection/>
    </xf>
    <xf numFmtId="37" fontId="24" fillId="0" borderId="11" xfId="56" applyNumberFormat="1" applyFont="1" applyBorder="1" applyAlignment="1">
      <alignment/>
      <protection/>
    </xf>
    <xf numFmtId="4" fontId="24" fillId="0" borderId="71" xfId="56" applyNumberFormat="1" applyFont="1" applyBorder="1" applyAlignment="1">
      <alignment horizontal="center"/>
      <protection/>
    </xf>
    <xf numFmtId="0" fontId="26" fillId="0" borderId="67" xfId="56" applyFont="1" applyBorder="1" applyAlignment="1">
      <alignment horizontal="center"/>
      <protection/>
    </xf>
    <xf numFmtId="37" fontId="26" fillId="0" borderId="58" xfId="56" applyNumberFormat="1" applyFont="1" applyBorder="1" applyAlignment="1">
      <alignment horizontal="right"/>
      <protection/>
    </xf>
    <xf numFmtId="37" fontId="26" fillId="0" borderId="63" xfId="56" applyNumberFormat="1" applyFont="1" applyBorder="1" applyAlignment="1">
      <alignment horizontal="right"/>
      <protection/>
    </xf>
    <xf numFmtId="37" fontId="26" fillId="0" borderId="59" xfId="56" applyNumberFormat="1" applyFont="1" applyBorder="1" applyAlignment="1">
      <alignment horizontal="right"/>
      <protection/>
    </xf>
    <xf numFmtId="37" fontId="26" fillId="0" borderId="64" xfId="56" applyNumberFormat="1" applyFont="1" applyBorder="1" applyAlignment="1">
      <alignment horizontal="right"/>
      <protection/>
    </xf>
    <xf numFmtId="37" fontId="26" fillId="0" borderId="65" xfId="56" applyNumberFormat="1" applyFont="1" applyBorder="1" applyAlignment="1">
      <alignment horizontal="right"/>
      <protection/>
    </xf>
    <xf numFmtId="3" fontId="23" fillId="0" borderId="19" xfId="56" applyNumberFormat="1" applyFont="1" applyBorder="1" applyAlignment="1">
      <alignment horizontal="right"/>
      <protection/>
    </xf>
    <xf numFmtId="3" fontId="23" fillId="0" borderId="12" xfId="56" applyNumberFormat="1" applyFont="1" applyBorder="1" applyAlignment="1">
      <alignment horizontal="right"/>
      <protection/>
    </xf>
    <xf numFmtId="3" fontId="23" fillId="0" borderId="55" xfId="56" applyNumberFormat="1" applyFont="1" applyBorder="1" applyAlignment="1">
      <alignment horizontal="right"/>
      <protection/>
    </xf>
    <xf numFmtId="3" fontId="23" fillId="0" borderId="36" xfId="56" applyNumberFormat="1" applyFont="1" applyBorder="1" applyAlignment="1">
      <alignment horizontal="right"/>
      <protection/>
    </xf>
    <xf numFmtId="3" fontId="23" fillId="0" borderId="53" xfId="56" applyNumberFormat="1" applyFont="1" applyBorder="1" applyAlignment="1">
      <alignment horizontal="right"/>
      <protection/>
    </xf>
    <xf numFmtId="3" fontId="23" fillId="0" borderId="12" xfId="56" applyNumberFormat="1" applyFont="1" applyBorder="1">
      <alignment/>
      <protection/>
    </xf>
    <xf numFmtId="37" fontId="21" fillId="0" borderId="58" xfId="56" applyNumberFormat="1" applyFont="1" applyBorder="1" applyAlignment="1">
      <alignment horizontal="right"/>
      <protection/>
    </xf>
    <xf numFmtId="37" fontId="21" fillId="0" borderId="63" xfId="56" applyNumberFormat="1" applyFont="1" applyBorder="1" applyAlignment="1">
      <alignment horizontal="right"/>
      <protection/>
    </xf>
    <xf numFmtId="37" fontId="21" fillId="0" borderId="59" xfId="56" applyNumberFormat="1" applyFont="1" applyBorder="1" applyAlignment="1">
      <alignment horizontal="right"/>
      <protection/>
    </xf>
    <xf numFmtId="37" fontId="21" fillId="0" borderId="64" xfId="56" applyNumberFormat="1" applyFont="1" applyBorder="1" applyAlignment="1">
      <alignment horizontal="right"/>
      <protection/>
    </xf>
    <xf numFmtId="37" fontId="21" fillId="0" borderId="65" xfId="56" applyNumberFormat="1" applyFont="1" applyBorder="1" applyAlignment="1">
      <alignment horizontal="right"/>
      <protection/>
    </xf>
    <xf numFmtId="0" fontId="27" fillId="0" borderId="0" xfId="56" applyFont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left"/>
      <protection/>
    </xf>
    <xf numFmtId="37" fontId="26" fillId="0" borderId="0" xfId="56" applyNumberFormat="1" applyFont="1" applyBorder="1" applyAlignment="1">
      <alignment horizontal="right"/>
      <protection/>
    </xf>
    <xf numFmtId="37" fontId="21" fillId="0" borderId="0" xfId="56" applyNumberFormat="1" applyFont="1" applyBorder="1" applyAlignment="1">
      <alignment horizontal="right"/>
      <protection/>
    </xf>
    <xf numFmtId="37" fontId="24" fillId="0" borderId="73" xfId="56" applyNumberFormat="1" applyFont="1" applyBorder="1" applyAlignment="1">
      <alignment horizontal="right"/>
      <protection/>
    </xf>
    <xf numFmtId="3" fontId="23" fillId="0" borderId="0" xfId="56" applyNumberFormat="1" applyFont="1" applyBorder="1" applyAlignment="1">
      <alignment horizontal="right"/>
      <protection/>
    </xf>
    <xf numFmtId="3" fontId="23" fillId="0" borderId="0" xfId="56" applyNumberFormat="1" applyFont="1" applyBorder="1">
      <alignment/>
      <protection/>
    </xf>
    <xf numFmtId="0" fontId="23" fillId="0" borderId="0" xfId="56" applyFont="1" applyBorder="1" applyAlignment="1">
      <alignment horizontal="center" vertical="center" textRotation="180"/>
      <protection/>
    </xf>
    <xf numFmtId="0" fontId="0" fillId="0" borderId="0" xfId="0" applyFill="1" applyBorder="1" applyAlignment="1">
      <alignment vertical="center" wrapText="1"/>
    </xf>
    <xf numFmtId="37" fontId="24" fillId="0" borderId="15" xfId="56" applyNumberFormat="1" applyFont="1" applyBorder="1" applyAlignment="1">
      <alignment horizontal="center"/>
      <protection/>
    </xf>
    <xf numFmtId="49" fontId="24" fillId="0" borderId="74" xfId="56" applyNumberFormat="1" applyFont="1" applyBorder="1" applyAlignment="1">
      <alignment horizontal="center"/>
      <protection/>
    </xf>
    <xf numFmtId="49" fontId="24" fillId="0" borderId="75" xfId="56" applyNumberFormat="1" applyFont="1" applyBorder="1" applyAlignment="1">
      <alignment horizontal="center"/>
      <protection/>
    </xf>
    <xf numFmtId="37" fontId="24" fillId="0" borderId="76" xfId="56" applyNumberFormat="1" applyFont="1" applyBorder="1" applyAlignment="1">
      <alignment horizontal="center"/>
      <protection/>
    </xf>
    <xf numFmtId="37" fontId="24" fillId="0" borderId="77" xfId="56" applyNumberFormat="1" applyFont="1" applyBorder="1" applyAlignment="1">
      <alignment horizontal="right"/>
      <protection/>
    </xf>
    <xf numFmtId="49" fontId="24" fillId="0" borderId="78" xfId="56" applyNumberFormat="1" applyFont="1" applyBorder="1" applyAlignment="1">
      <alignment horizontal="center"/>
      <protection/>
    </xf>
    <xf numFmtId="3" fontId="24" fillId="0" borderId="77" xfId="56" applyNumberFormat="1" applyFont="1" applyBorder="1" applyAlignment="1">
      <alignment horizontal="right"/>
      <protection/>
    </xf>
    <xf numFmtId="3" fontId="24" fillId="0" borderId="36" xfId="56" applyNumberFormat="1" applyFont="1" applyBorder="1" applyAlignment="1">
      <alignment horizontal="center"/>
      <protection/>
    </xf>
    <xf numFmtId="3" fontId="24" fillId="0" borderId="46" xfId="56" applyNumberFormat="1" applyFont="1" applyBorder="1" applyAlignment="1">
      <alignment horizontal="center"/>
      <protection/>
    </xf>
    <xf numFmtId="3" fontId="24" fillId="0" borderId="77" xfId="56" applyNumberFormat="1" applyFont="1" applyBorder="1" applyAlignment="1">
      <alignment/>
      <protection/>
    </xf>
    <xf numFmtId="3" fontId="23" fillId="0" borderId="78" xfId="56" applyNumberFormat="1" applyFont="1" applyBorder="1" applyAlignment="1">
      <alignment horizontal="right"/>
      <protection/>
    </xf>
    <xf numFmtId="3" fontId="23" fillId="0" borderId="77" xfId="56" applyNumberFormat="1" applyFont="1" applyBorder="1" applyAlignment="1">
      <alignment horizontal="right"/>
      <protection/>
    </xf>
    <xf numFmtId="3" fontId="23" fillId="0" borderId="79" xfId="56" applyNumberFormat="1" applyFont="1" applyBorder="1" applyAlignment="1">
      <alignment horizontal="right"/>
      <protection/>
    </xf>
    <xf numFmtId="3" fontId="23" fillId="0" borderId="80" xfId="56" applyNumberFormat="1" applyFont="1" applyBorder="1" applyAlignment="1">
      <alignment horizontal="right"/>
      <protection/>
    </xf>
    <xf numFmtId="49" fontId="24" fillId="0" borderId="79" xfId="56" applyNumberFormat="1" applyFont="1" applyBorder="1" applyAlignment="1">
      <alignment horizontal="center"/>
      <protection/>
    </xf>
    <xf numFmtId="3" fontId="24" fillId="0" borderId="80" xfId="56" applyNumberFormat="1" applyFont="1" applyBorder="1" applyAlignment="1">
      <alignment horizontal="right"/>
      <protection/>
    </xf>
    <xf numFmtId="0" fontId="12" fillId="0" borderId="79" xfId="0" applyFont="1" applyBorder="1" applyAlignment="1">
      <alignment horizontal="center" vertical="center"/>
    </xf>
    <xf numFmtId="37" fontId="21" fillId="0" borderId="78" xfId="0" applyNumberFormat="1" applyFont="1" applyBorder="1" applyAlignment="1">
      <alignment horizontal="center" vertical="center" wrapText="1"/>
    </xf>
    <xf numFmtId="37" fontId="21" fillId="0" borderId="81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/>
    </xf>
    <xf numFmtId="37" fontId="21" fillId="0" borderId="12" xfId="0" applyNumberFormat="1" applyFont="1" applyBorder="1" applyAlignment="1">
      <alignment horizontal="center"/>
    </xf>
    <xf numFmtId="0" fontId="23" fillId="0" borderId="53" xfId="0" applyFont="1" applyBorder="1" applyAlignment="1">
      <alignment/>
    </xf>
    <xf numFmtId="37" fontId="23" fillId="0" borderId="12" xfId="0" applyNumberFormat="1" applyFont="1" applyFill="1" applyBorder="1" applyAlignment="1">
      <alignment horizontal="center"/>
    </xf>
    <xf numFmtId="37" fontId="23" fillId="0" borderId="12" xfId="0" applyNumberFormat="1" applyFont="1" applyBorder="1" applyAlignment="1">
      <alignment horizontal="center"/>
    </xf>
    <xf numFmtId="0" fontId="23" fillId="0" borderId="70" xfId="0" applyFont="1" applyBorder="1" applyAlignment="1">
      <alignment horizontal="left" indent="1"/>
    </xf>
    <xf numFmtId="37" fontId="23" fillId="0" borderId="11" xfId="0" applyNumberFormat="1" applyFont="1" applyBorder="1" applyAlignment="1">
      <alignment horizontal="center"/>
    </xf>
    <xf numFmtId="0" fontId="21" fillId="0" borderId="58" xfId="0" applyFont="1" applyBorder="1" applyAlignment="1">
      <alignment/>
    </xf>
    <xf numFmtId="37" fontId="21" fillId="0" borderId="6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37" fontId="23" fillId="0" borderId="0" xfId="0" applyNumberFormat="1" applyFont="1" applyAlignment="1">
      <alignment/>
    </xf>
    <xf numFmtId="0" fontId="23" fillId="0" borderId="53" xfId="0" applyFont="1" applyFill="1" applyBorder="1" applyAlignment="1">
      <alignment/>
    </xf>
    <xf numFmtId="37" fontId="23" fillId="0" borderId="55" xfId="0" applyNumberFormat="1" applyFont="1" applyBorder="1" applyAlignment="1">
      <alignment horizontal="center"/>
    </xf>
    <xf numFmtId="37" fontId="23" fillId="0" borderId="82" xfId="0" applyNumberFormat="1" applyFont="1" applyBorder="1" applyAlignment="1">
      <alignment horizontal="center"/>
    </xf>
    <xf numFmtId="37" fontId="21" fillId="0" borderId="12" xfId="0" applyNumberFormat="1" applyFont="1" applyFill="1" applyBorder="1" applyAlignment="1">
      <alignment horizontal="center"/>
    </xf>
    <xf numFmtId="3" fontId="0" fillId="0" borderId="18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12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20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45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11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15" xfId="57" applyNumberFormat="1" applyFont="1" applyFill="1" applyBorder="1" applyAlignment="1" applyProtection="1">
      <alignment horizontal="right" vertical="center" wrapText="1" indent="1"/>
      <protection/>
    </xf>
    <xf numFmtId="3" fontId="0" fillId="0" borderId="11" xfId="57" applyNumberFormat="1" applyFont="1" applyFill="1" applyBorder="1" applyAlignment="1" applyProtection="1">
      <alignment horizontal="right" vertical="center" wrapText="1" indent="1"/>
      <protection/>
    </xf>
    <xf numFmtId="3" fontId="0" fillId="0" borderId="20" xfId="57" applyNumberFormat="1" applyFont="1" applyFill="1" applyBorder="1" applyAlignment="1" applyProtection="1">
      <alignment horizontal="right" vertical="center" wrapText="1" indent="1"/>
      <protection/>
    </xf>
    <xf numFmtId="3" fontId="4" fillId="0" borderId="31" xfId="57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37" fontId="21" fillId="0" borderId="55" xfId="0" applyNumberFormat="1" applyFont="1" applyBorder="1" applyAlignment="1">
      <alignment horizontal="center"/>
    </xf>
    <xf numFmtId="37" fontId="21" fillId="0" borderId="55" xfId="0" applyNumberFormat="1" applyFont="1" applyFill="1" applyBorder="1" applyAlignment="1">
      <alignment horizontal="center"/>
    </xf>
    <xf numFmtId="37" fontId="21" fillId="0" borderId="83" xfId="0" applyNumberFormat="1" applyFont="1" applyBorder="1" applyAlignment="1">
      <alignment horizontal="center" vertical="center" wrapText="1"/>
    </xf>
    <xf numFmtId="37" fontId="23" fillId="0" borderId="36" xfId="0" applyNumberFormat="1" applyFont="1" applyBorder="1" applyAlignment="1">
      <alignment horizontal="center"/>
    </xf>
    <xf numFmtId="37" fontId="23" fillId="0" borderId="36" xfId="0" applyNumberFormat="1" applyFont="1" applyFill="1" applyBorder="1" applyAlignment="1">
      <alignment horizontal="center"/>
    </xf>
    <xf numFmtId="37" fontId="23" fillId="0" borderId="52" xfId="0" applyNumberFormat="1" applyFont="1" applyBorder="1" applyAlignment="1">
      <alignment horizontal="center"/>
    </xf>
    <xf numFmtId="37" fontId="21" fillId="0" borderId="64" xfId="0" applyNumberFormat="1" applyFont="1" applyBorder="1" applyAlignment="1">
      <alignment horizontal="center"/>
    </xf>
    <xf numFmtId="3" fontId="0" fillId="0" borderId="18" xfId="57" applyNumberFormat="1" applyFont="1" applyFill="1" applyBorder="1" applyAlignment="1" applyProtection="1">
      <alignment horizontal="right" vertical="center" wrapText="1" indent="1"/>
      <protection/>
    </xf>
    <xf numFmtId="3" fontId="0" fillId="0" borderId="12" xfId="57" applyNumberFormat="1" applyFont="1" applyFill="1" applyBorder="1" applyAlignment="1" applyProtection="1">
      <alignment horizontal="right" vertical="center" wrapText="1" indent="1"/>
      <protection/>
    </xf>
    <xf numFmtId="3" fontId="0" fillId="0" borderId="45" xfId="57" applyNumberFormat="1" applyFont="1" applyFill="1" applyBorder="1" applyAlignment="1" applyProtection="1">
      <alignment horizontal="right" vertical="center" wrapText="1" indent="1"/>
      <protection/>
    </xf>
    <xf numFmtId="3" fontId="4" fillId="0" borderId="31" xfId="57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>
      <alignment horizontal="right" vertical="center" wrapText="1" inden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62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24" fillId="0" borderId="36" xfId="56" applyFont="1" applyBorder="1" applyAlignment="1">
      <alignment horizontal="left"/>
      <protection/>
    </xf>
    <xf numFmtId="0" fontId="24" fillId="0" borderId="73" xfId="56" applyFont="1" applyBorder="1" applyAlignment="1">
      <alignment horizontal="left"/>
      <protection/>
    </xf>
    <xf numFmtId="0" fontId="24" fillId="0" borderId="89" xfId="56" applyFont="1" applyBorder="1" applyAlignment="1">
      <alignment horizontal="left"/>
      <protection/>
    </xf>
    <xf numFmtId="0" fontId="24" fillId="0" borderId="46" xfId="56" applyFont="1" applyBorder="1" applyAlignment="1">
      <alignment horizontal="left"/>
      <protection/>
    </xf>
    <xf numFmtId="0" fontId="22" fillId="0" borderId="90" xfId="56" applyBorder="1" applyAlignment="1">
      <alignment horizontal="left"/>
      <protection/>
    </xf>
    <xf numFmtId="0" fontId="22" fillId="0" borderId="91" xfId="56" applyBorder="1" applyAlignment="1">
      <alignment horizontal="left"/>
      <protection/>
    </xf>
    <xf numFmtId="3" fontId="0" fillId="0" borderId="19" xfId="57" applyNumberFormat="1" applyFont="1" applyFill="1" applyBorder="1" applyAlignment="1" applyProtection="1">
      <alignment horizontal="left" vertical="center" wrapText="1" indent="1"/>
      <protection/>
    </xf>
    <xf numFmtId="3" fontId="0" fillId="0" borderId="15" xfId="57" applyNumberFormat="1" applyFont="1" applyFill="1" applyBorder="1" applyAlignment="1" applyProtection="1">
      <alignment horizontal="left" vertical="center" wrapText="1" indent="1"/>
      <protection/>
    </xf>
    <xf numFmtId="3" fontId="4" fillId="0" borderId="31" xfId="0" applyNumberFormat="1" applyFont="1" applyFill="1" applyBorder="1" applyAlignment="1">
      <alignment horizontal="left" vertical="center" wrapText="1" indent="1"/>
    </xf>
    <xf numFmtId="3" fontId="4" fillId="0" borderId="31" xfId="57" applyNumberFormat="1" applyFont="1" applyFill="1" applyBorder="1" applyAlignment="1" applyProtection="1">
      <alignment vertical="center" wrapText="1"/>
      <protection/>
    </xf>
    <xf numFmtId="3" fontId="4" fillId="0" borderId="31" xfId="57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57" applyNumberFormat="1" applyFont="1" applyFill="1" applyBorder="1" applyAlignment="1" applyProtection="1">
      <alignment horizontal="left" vertical="center" wrapText="1" indent="1"/>
      <protection/>
    </xf>
    <xf numFmtId="37" fontId="24" fillId="0" borderId="20" xfId="56" applyNumberFormat="1" applyFont="1" applyBorder="1" applyAlignment="1">
      <alignment horizontal="right"/>
      <protection/>
    </xf>
    <xf numFmtId="3" fontId="24" fillId="0" borderId="56" xfId="56" applyNumberFormat="1" applyFont="1" applyBorder="1" applyAlignment="1">
      <alignment horizontal="right"/>
      <protection/>
    </xf>
    <xf numFmtId="3" fontId="24" fillId="0" borderId="20" xfId="56" applyNumberFormat="1" applyFont="1" applyBorder="1" applyAlignment="1">
      <alignment horizontal="right"/>
      <protection/>
    </xf>
    <xf numFmtId="3" fontId="24" fillId="0" borderId="20" xfId="56" applyNumberFormat="1" applyFont="1" applyBorder="1" applyAlignment="1">
      <alignment/>
      <protection/>
    </xf>
    <xf numFmtId="3" fontId="23" fillId="0" borderId="11" xfId="56" applyNumberFormat="1" applyFont="1" applyBorder="1" applyAlignment="1">
      <alignment horizontal="right"/>
      <protection/>
    </xf>
    <xf numFmtId="3" fontId="23" fillId="0" borderId="71" xfId="56" applyNumberFormat="1" applyFont="1" applyBorder="1" applyAlignment="1">
      <alignment horizontal="right"/>
      <protection/>
    </xf>
    <xf numFmtId="3" fontId="23" fillId="0" borderId="56" xfId="56" applyNumberFormat="1" applyFont="1" applyBorder="1" applyAlignment="1">
      <alignment horizontal="right"/>
      <protection/>
    </xf>
    <xf numFmtId="3" fontId="23" fillId="0" borderId="57" xfId="56" applyNumberFormat="1" applyFont="1" applyBorder="1" applyAlignment="1">
      <alignment horizontal="right"/>
      <protection/>
    </xf>
    <xf numFmtId="164" fontId="16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2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39" xfId="57" applyNumberFormat="1" applyFont="1" applyFill="1" applyBorder="1" applyAlignment="1" applyProtection="1">
      <alignment vertical="center" wrapText="1"/>
      <protection/>
    </xf>
    <xf numFmtId="164" fontId="14" fillId="0" borderId="39" xfId="57" applyNumberFormat="1" applyFont="1" applyFill="1" applyBorder="1" applyAlignment="1" applyProtection="1">
      <alignment vertical="center" wrapText="1"/>
      <protection locked="0"/>
    </xf>
    <xf numFmtId="0" fontId="8" fillId="0" borderId="38" xfId="57" applyFont="1" applyFill="1" applyBorder="1" applyAlignment="1" applyProtection="1">
      <alignment horizontal="center" vertical="center" wrapText="1"/>
      <protection/>
    </xf>
    <xf numFmtId="0" fontId="14" fillId="0" borderId="38" xfId="57" applyFont="1" applyFill="1" applyBorder="1" applyAlignment="1" applyProtection="1">
      <alignment horizontal="center" vertical="center" wrapText="1"/>
      <protection/>
    </xf>
    <xf numFmtId="164" fontId="14" fillId="0" borderId="93" xfId="57" applyNumberFormat="1" applyFont="1" applyFill="1" applyBorder="1" applyAlignment="1" applyProtection="1">
      <alignment vertical="center" wrapText="1"/>
      <protection/>
    </xf>
    <xf numFmtId="164" fontId="16" fillId="0" borderId="94" xfId="57" applyNumberFormat="1" applyFont="1" applyFill="1" applyBorder="1" applyAlignment="1" applyProtection="1">
      <alignment vertical="center" wrapText="1"/>
      <protection locked="0"/>
    </xf>
    <xf numFmtId="164" fontId="16" fillId="0" borderId="42" xfId="57" applyNumberFormat="1" applyFont="1" applyFill="1" applyBorder="1" applyAlignment="1" applyProtection="1">
      <alignment vertical="center" wrapText="1"/>
      <protection locked="0"/>
    </xf>
    <xf numFmtId="164" fontId="16" fillId="0" borderId="19" xfId="57" applyNumberFormat="1" applyFont="1" applyFill="1" applyBorder="1" applyAlignment="1" applyProtection="1">
      <alignment vertical="center" wrapText="1"/>
      <protection locked="0"/>
    </xf>
    <xf numFmtId="164" fontId="16" fillId="0" borderId="45" xfId="57" applyNumberFormat="1" applyFont="1" applyFill="1" applyBorder="1" applyAlignment="1" applyProtection="1">
      <alignment vertical="center" wrapText="1"/>
      <protection locked="0"/>
    </xf>
    <xf numFmtId="164" fontId="16" fillId="0" borderId="72" xfId="57" applyNumberFormat="1" applyFont="1" applyFill="1" applyBorder="1" applyAlignment="1" applyProtection="1">
      <alignment vertical="center" wrapText="1"/>
      <protection locked="0"/>
    </xf>
    <xf numFmtId="164" fontId="14" fillId="0" borderId="38" xfId="57" applyNumberFormat="1" applyFont="1" applyFill="1" applyBorder="1" applyAlignment="1" applyProtection="1">
      <alignment vertical="center" wrapText="1"/>
      <protection/>
    </xf>
    <xf numFmtId="164" fontId="14" fillId="0" borderId="38" xfId="57" applyNumberFormat="1" applyFont="1" applyFill="1" applyBorder="1" applyAlignment="1" applyProtection="1">
      <alignment vertical="center" wrapText="1"/>
      <protection locked="0"/>
    </xf>
    <xf numFmtId="164" fontId="16" fillId="0" borderId="29" xfId="57" applyNumberFormat="1" applyFont="1" applyFill="1" applyBorder="1" applyAlignment="1" applyProtection="1">
      <alignment vertical="center" wrapText="1"/>
      <protection locked="0"/>
    </xf>
    <xf numFmtId="0" fontId="8" fillId="0" borderId="39" xfId="57" applyFont="1" applyFill="1" applyBorder="1" applyAlignment="1" applyProtection="1">
      <alignment horizontal="center" vertical="center" wrapText="1"/>
      <protection/>
    </xf>
    <xf numFmtId="0" fontId="14" fillId="0" borderId="39" xfId="57" applyFont="1" applyFill="1" applyBorder="1" applyAlignment="1" applyProtection="1">
      <alignment horizontal="center" vertical="center" wrapText="1"/>
      <protection/>
    </xf>
    <xf numFmtId="164" fontId="14" fillId="0" borderId="95" xfId="57" applyNumberFormat="1" applyFont="1" applyFill="1" applyBorder="1" applyAlignment="1" applyProtection="1">
      <alignment vertical="center" wrapText="1"/>
      <protection/>
    </xf>
    <xf numFmtId="164" fontId="16" fillId="0" borderId="52" xfId="57" applyNumberFormat="1" applyFont="1" applyFill="1" applyBorder="1" applyAlignment="1" applyProtection="1">
      <alignment vertical="center" wrapText="1"/>
      <protection locked="0"/>
    </xf>
    <xf numFmtId="0" fontId="8" fillId="0" borderId="96" xfId="57" applyFont="1" applyFill="1" applyBorder="1" applyAlignment="1" applyProtection="1">
      <alignment horizontal="center" vertical="center" wrapText="1"/>
      <protection/>
    </xf>
    <xf numFmtId="0" fontId="14" fillId="0" borderId="96" xfId="57" applyFont="1" applyFill="1" applyBorder="1" applyAlignment="1" applyProtection="1">
      <alignment horizontal="center" vertical="center" wrapText="1"/>
      <protection/>
    </xf>
    <xf numFmtId="164" fontId="14" fillId="0" borderId="97" xfId="57" applyNumberFormat="1" applyFont="1" applyFill="1" applyBorder="1" applyAlignment="1" applyProtection="1">
      <alignment horizontal="right" vertical="center" wrapText="1"/>
      <protection/>
    </xf>
    <xf numFmtId="164" fontId="16" fillId="0" borderId="98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9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0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01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96" xfId="57" applyNumberFormat="1" applyFont="1" applyFill="1" applyBorder="1" applyAlignment="1" applyProtection="1">
      <alignment vertical="center" wrapText="1"/>
      <protection/>
    </xf>
    <xf numFmtId="164" fontId="16" fillId="0" borderId="98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100" xfId="57" applyNumberFormat="1" applyFont="1" applyFill="1" applyBorder="1" applyAlignment="1" applyProtection="1">
      <alignment horizontal="right" vertical="center" wrapText="1"/>
      <protection/>
    </xf>
    <xf numFmtId="164" fontId="14" fillId="0" borderId="96" xfId="57" applyNumberFormat="1" applyFont="1" applyFill="1" applyBorder="1" applyAlignment="1" applyProtection="1">
      <alignment vertical="center" wrapText="1"/>
      <protection locked="0"/>
    </xf>
    <xf numFmtId="164" fontId="16" fillId="0" borderId="101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101" xfId="57" applyNumberFormat="1" applyFont="1" applyFill="1" applyBorder="1" applyAlignment="1" applyProtection="1">
      <alignment horizontal="right" vertical="center" wrapText="1"/>
      <protection/>
    </xf>
    <xf numFmtId="164" fontId="16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7" applyNumberFormat="1" applyFont="1" applyFill="1" applyBorder="1" applyAlignment="1" applyProtection="1">
      <alignment horizontal="right" vertical="center" wrapText="1"/>
      <protection/>
    </xf>
    <xf numFmtId="164" fontId="14" fillId="0" borderId="13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32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39" xfId="57" applyNumberFormat="1" applyFont="1" applyFill="1" applyBorder="1" applyAlignment="1" applyProtection="1">
      <alignment horizontal="right" vertical="center" wrapText="1"/>
      <protection/>
    </xf>
    <xf numFmtId="164" fontId="14" fillId="0" borderId="96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96" xfId="57" applyNumberFormat="1" applyFont="1" applyFill="1" applyBorder="1" applyAlignment="1" applyProtection="1">
      <alignment horizontal="right" vertical="center" wrapText="1"/>
      <protection/>
    </xf>
    <xf numFmtId="164" fontId="16" fillId="0" borderId="102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6" xfId="57" applyNumberFormat="1" applyFont="1" applyFill="1" applyBorder="1" applyAlignment="1" applyProtection="1">
      <alignment horizontal="right" vertical="center" wrapText="1"/>
      <protection/>
    </xf>
    <xf numFmtId="164" fontId="16" fillId="0" borderId="103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96" xfId="57" applyNumberFormat="1" applyFont="1" applyFill="1" applyBorder="1" applyAlignment="1" applyProtection="1">
      <alignment horizontal="right" vertical="center" wrapText="1"/>
      <protection/>
    </xf>
    <xf numFmtId="164" fontId="14" fillId="0" borderId="104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104" xfId="57" applyNumberFormat="1" applyFont="1" applyFill="1" applyBorder="1" applyAlignment="1" applyProtection="1">
      <alignment horizontal="right" vertical="center" wrapText="1"/>
      <protection/>
    </xf>
    <xf numFmtId="164" fontId="16" fillId="0" borderId="7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7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7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05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104" xfId="57" applyNumberFormat="1" applyFont="1" applyFill="1" applyBorder="1" applyAlignment="1" applyProtection="1">
      <alignment horizontal="right" vertical="center" wrapText="1"/>
      <protection/>
    </xf>
    <xf numFmtId="164" fontId="14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30" xfId="57" applyNumberFormat="1" applyFont="1" applyFill="1" applyBorder="1" applyAlignment="1" applyProtection="1">
      <alignment horizontal="right" vertical="center" wrapText="1"/>
      <protection/>
    </xf>
    <xf numFmtId="164" fontId="16" fillId="0" borderId="21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5" xfId="57" applyNumberFormat="1" applyFont="1" applyFill="1" applyBorder="1" applyAlignment="1" applyProtection="1">
      <alignment horizontal="right" vertical="center" wrapText="1"/>
      <protection locked="0"/>
    </xf>
    <xf numFmtId="49" fontId="16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30" xfId="57" applyNumberFormat="1" applyFont="1" applyFill="1" applyBorder="1" applyAlignment="1" applyProtection="1">
      <alignment horizontal="right" vertical="center" wrapText="1"/>
      <protection/>
    </xf>
    <xf numFmtId="164" fontId="14" fillId="0" borderId="40" xfId="57" applyNumberFormat="1" applyFont="1" applyFill="1" applyBorder="1" applyAlignment="1" applyProtection="1">
      <alignment horizontal="right" vertical="center" wrapText="1"/>
      <protection/>
    </xf>
    <xf numFmtId="164" fontId="14" fillId="0" borderId="30" xfId="57" applyNumberFormat="1" applyFont="1" applyFill="1" applyBorder="1" applyAlignment="1" applyProtection="1">
      <alignment horizontal="right" vertical="center" wrapText="1"/>
      <protection/>
    </xf>
    <xf numFmtId="164" fontId="14" fillId="0" borderId="104" xfId="57" applyNumberFormat="1" applyFont="1" applyFill="1" applyBorder="1" applyAlignment="1" applyProtection="1">
      <alignment horizontal="right" vertical="center" wrapText="1"/>
      <protection/>
    </xf>
    <xf numFmtId="164" fontId="14" fillId="0" borderId="32" xfId="57" applyNumberFormat="1" applyFont="1" applyFill="1" applyBorder="1" applyAlignment="1" applyProtection="1">
      <alignment horizontal="right" vertical="center" wrapText="1"/>
      <protection/>
    </xf>
    <xf numFmtId="164" fontId="16" fillId="0" borderId="12" xfId="57" applyNumberFormat="1" applyFont="1" applyFill="1" applyBorder="1" applyAlignment="1" applyProtection="1">
      <alignment horizontal="right" vertical="center" wrapText="1"/>
      <protection/>
    </xf>
    <xf numFmtId="164" fontId="16" fillId="0" borderId="18" xfId="57" applyNumberFormat="1" applyFont="1" applyFill="1" applyBorder="1" applyAlignment="1" applyProtection="1">
      <alignment horizontal="right" vertical="center" wrapText="1"/>
      <protection/>
    </xf>
    <xf numFmtId="164" fontId="16" fillId="0" borderId="50" xfId="57" applyNumberFormat="1" applyFont="1" applyFill="1" applyBorder="1" applyAlignment="1" applyProtection="1">
      <alignment horizontal="right" vertical="center" wrapText="1"/>
      <protection/>
    </xf>
    <xf numFmtId="164" fontId="16" fillId="0" borderId="15" xfId="57" applyNumberFormat="1" applyFont="1" applyFill="1" applyBorder="1" applyAlignment="1" applyProtection="1">
      <alignment horizontal="right" vertical="center" wrapText="1"/>
      <protection/>
    </xf>
    <xf numFmtId="164" fontId="14" fillId="0" borderId="31" xfId="57" applyNumberFormat="1" applyFont="1" applyFill="1" applyBorder="1" applyAlignment="1" applyProtection="1">
      <alignment horizontal="right" vertical="center" wrapText="1"/>
      <protection/>
    </xf>
    <xf numFmtId="164" fontId="16" fillId="0" borderId="29" xfId="57" applyNumberFormat="1" applyFont="1" applyFill="1" applyBorder="1" applyAlignment="1" applyProtection="1">
      <alignment horizontal="right" vertical="center" wrapText="1"/>
      <protection/>
    </xf>
    <xf numFmtId="164" fontId="16" fillId="0" borderId="13" xfId="57" applyNumberFormat="1" applyFont="1" applyFill="1" applyBorder="1" applyAlignment="1" applyProtection="1">
      <alignment horizontal="right" vertical="center" wrapText="1"/>
      <protection/>
    </xf>
    <xf numFmtId="164" fontId="16" fillId="0" borderId="106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/>
    </xf>
    <xf numFmtId="164" fontId="16" fillId="0" borderId="18" xfId="57" applyNumberFormat="1" applyFont="1" applyFill="1" applyBorder="1" applyAlignment="1" applyProtection="1">
      <alignment vertical="center" wrapText="1"/>
      <protection/>
    </xf>
    <xf numFmtId="164" fontId="16" fillId="0" borderId="15" xfId="57" applyNumberFormat="1" applyFont="1" applyFill="1" applyBorder="1" applyAlignment="1" applyProtection="1">
      <alignment vertical="center" wrapText="1"/>
      <protection/>
    </xf>
    <xf numFmtId="164" fontId="16" fillId="0" borderId="13" xfId="57" applyNumberFormat="1" applyFont="1" applyFill="1" applyBorder="1" applyAlignment="1" applyProtection="1">
      <alignment vertical="center" wrapText="1"/>
      <protection/>
    </xf>
    <xf numFmtId="164" fontId="16" fillId="0" borderId="16" xfId="57" applyNumberFormat="1" applyFont="1" applyFill="1" applyBorder="1" applyAlignment="1" applyProtection="1">
      <alignment vertical="center" wrapText="1"/>
      <protection/>
    </xf>
    <xf numFmtId="164" fontId="16" fillId="0" borderId="12" xfId="57" applyNumberFormat="1" applyFont="1" applyFill="1" applyBorder="1" applyAlignment="1" applyProtection="1">
      <alignment vertical="center" wrapText="1"/>
      <protection/>
    </xf>
    <xf numFmtId="164" fontId="16" fillId="0" borderId="17" xfId="57" applyNumberFormat="1" applyFont="1" applyFill="1" applyBorder="1" applyAlignment="1" applyProtection="1">
      <alignment vertical="center" wrapText="1"/>
      <protection/>
    </xf>
    <xf numFmtId="164" fontId="16" fillId="0" borderId="11" xfId="57" applyNumberFormat="1" applyFont="1" applyFill="1" applyBorder="1" applyAlignment="1" applyProtection="1">
      <alignment vertical="center" wrapText="1"/>
      <protection/>
    </xf>
    <xf numFmtId="164" fontId="0" fillId="0" borderId="11" xfId="57" applyNumberFormat="1" applyFont="1" applyFill="1" applyBorder="1" applyAlignment="1" applyProtection="1">
      <alignment vertical="center" wrapText="1"/>
      <protection locked="0"/>
    </xf>
    <xf numFmtId="164" fontId="0" fillId="0" borderId="52" xfId="57" applyNumberFormat="1" applyFont="1" applyFill="1" applyBorder="1" applyAlignment="1" applyProtection="1">
      <alignment vertical="center" wrapText="1"/>
      <protection locked="0"/>
    </xf>
    <xf numFmtId="164" fontId="16" fillId="0" borderId="29" xfId="57" applyNumberFormat="1" applyFont="1" applyFill="1" applyBorder="1" applyAlignment="1" applyProtection="1">
      <alignment vertical="center" wrapText="1"/>
      <protection/>
    </xf>
    <xf numFmtId="3" fontId="4" fillId="0" borderId="32" xfId="57" applyNumberFormat="1" applyFont="1" applyFill="1" applyBorder="1" applyAlignment="1">
      <alignment vertical="center"/>
      <protection/>
    </xf>
    <xf numFmtId="3" fontId="0" fillId="0" borderId="16" xfId="57" applyNumberFormat="1" applyFont="1" applyFill="1" applyBorder="1" applyAlignment="1">
      <alignment vertical="center"/>
      <protection/>
    </xf>
    <xf numFmtId="3" fontId="0" fillId="0" borderId="13" xfId="57" applyNumberFormat="1" applyFont="1" applyFill="1" applyBorder="1" applyAlignment="1">
      <alignment vertical="center"/>
      <protection/>
    </xf>
    <xf numFmtId="3" fontId="0" fillId="0" borderId="27" xfId="57" applyNumberFormat="1" applyFont="1" applyFill="1" applyBorder="1" applyAlignment="1">
      <alignment vertical="center"/>
      <protection/>
    </xf>
    <xf numFmtId="3" fontId="0" fillId="0" borderId="106" xfId="57" applyNumberFormat="1" applyFont="1" applyFill="1" applyBorder="1" applyAlignment="1">
      <alignment vertical="center"/>
      <protection/>
    </xf>
    <xf numFmtId="3" fontId="4" fillId="0" borderId="32" xfId="57" applyNumberFormat="1" applyFont="1" applyFill="1" applyBorder="1" applyAlignment="1">
      <alignment vertical="center"/>
      <protection/>
    </xf>
    <xf numFmtId="3" fontId="14" fillId="0" borderId="31" xfId="57" applyNumberFormat="1" applyFont="1" applyFill="1" applyBorder="1" applyAlignment="1" applyProtection="1">
      <alignment vertical="center" wrapText="1"/>
      <protection/>
    </xf>
    <xf numFmtId="164" fontId="14" fillId="0" borderId="12" xfId="57" applyNumberFormat="1" applyFont="1" applyFill="1" applyBorder="1" applyAlignment="1" applyProtection="1">
      <alignment horizontal="right" vertical="center" wrapText="1"/>
      <protection/>
    </xf>
    <xf numFmtId="164" fontId="14" fillId="0" borderId="15" xfId="57" applyNumberFormat="1" applyFont="1" applyFill="1" applyBorder="1" applyAlignment="1" applyProtection="1">
      <alignment horizontal="right" vertical="center" wrapText="1"/>
      <protection/>
    </xf>
    <xf numFmtId="164" fontId="14" fillId="0" borderId="20" xfId="57" applyNumberFormat="1" applyFont="1" applyFill="1" applyBorder="1" applyAlignment="1" applyProtection="1">
      <alignment horizontal="right" vertical="center" wrapText="1"/>
      <protection/>
    </xf>
    <xf numFmtId="0" fontId="18" fillId="0" borderId="39" xfId="57" applyFont="1" applyFill="1" applyBorder="1" applyAlignment="1" applyProtection="1">
      <alignment horizontal="left" vertical="center" wrapText="1" indent="1"/>
      <protection/>
    </xf>
    <xf numFmtId="0" fontId="16" fillId="0" borderId="52" xfId="57" applyFont="1" applyFill="1" applyBorder="1" applyAlignment="1" applyProtection="1">
      <alignment horizontal="left" vertical="center" wrapText="1" indent="1"/>
      <protection/>
    </xf>
    <xf numFmtId="0" fontId="14" fillId="0" borderId="39" xfId="57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left" vertical="center" wrapText="1" indent="1"/>
      <protection/>
    </xf>
    <xf numFmtId="3" fontId="0" fillId="0" borderId="84" xfId="0" applyNumberFormat="1" applyBorder="1" applyAlignment="1">
      <alignment/>
    </xf>
    <xf numFmtId="3" fontId="0" fillId="0" borderId="88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0" fillId="0" borderId="87" xfId="0" applyNumberFormat="1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16" fillId="0" borderId="94" xfId="57" applyFont="1" applyFill="1" applyBorder="1" applyAlignment="1" applyProtection="1">
      <alignment horizontal="left" vertical="center" wrapText="1" indent="1"/>
      <protection/>
    </xf>
    <xf numFmtId="0" fontId="16" fillId="0" borderId="42" xfId="57" applyFont="1" applyFill="1" applyBorder="1" applyAlignment="1" applyProtection="1">
      <alignment horizontal="left" vertical="center" wrapText="1" indent="1"/>
      <protection/>
    </xf>
    <xf numFmtId="0" fontId="16" fillId="0" borderId="19" xfId="57" applyFont="1" applyFill="1" applyBorder="1" applyAlignment="1" applyProtection="1">
      <alignment horizontal="left" wrapText="1" indent="1"/>
      <protection/>
    </xf>
    <xf numFmtId="0" fontId="16" fillId="0" borderId="19" xfId="57" applyFont="1" applyFill="1" applyBorder="1" applyAlignment="1" applyProtection="1">
      <alignment horizontal="left" indent="1"/>
      <protection/>
    </xf>
    <xf numFmtId="0" fontId="16" fillId="0" borderId="19" xfId="57" applyFont="1" applyFill="1" applyBorder="1" applyAlignment="1" applyProtection="1">
      <alignment horizontal="left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95" xfId="57" applyFont="1" applyFill="1" applyBorder="1" applyAlignment="1" applyProtection="1">
      <alignment horizontal="left" vertical="center" wrapText="1" indent="1"/>
      <protection/>
    </xf>
    <xf numFmtId="0" fontId="16" fillId="0" borderId="36" xfId="57" applyFont="1" applyFill="1" applyBorder="1" applyAlignment="1" applyProtection="1">
      <alignment horizontal="left" vertical="center" wrapText="1" indent="1"/>
      <protection/>
    </xf>
    <xf numFmtId="0" fontId="16" fillId="0" borderId="110" xfId="57" applyFont="1" applyFill="1" applyBorder="1" applyAlignment="1" applyProtection="1">
      <alignment horizontal="left" vertical="center" wrapText="1" indent="1"/>
      <protection/>
    </xf>
    <xf numFmtId="0" fontId="16" fillId="0" borderId="48" xfId="57" applyFont="1" applyFill="1" applyBorder="1" applyAlignment="1" applyProtection="1">
      <alignment horizontal="left" vertical="center" wrapText="1" indent="1"/>
      <protection/>
    </xf>
    <xf numFmtId="0" fontId="16" fillId="0" borderId="36" xfId="57" applyFont="1" applyFill="1" applyBorder="1" applyAlignment="1" applyProtection="1">
      <alignment horizontal="left" vertical="center" wrapText="1" indent="2"/>
      <protection/>
    </xf>
    <xf numFmtId="0" fontId="16" fillId="0" borderId="46" xfId="57" applyFont="1" applyFill="1" applyBorder="1" applyAlignment="1" applyProtection="1">
      <alignment horizontal="left" vertical="center" wrapText="1" indent="2"/>
      <protection/>
    </xf>
    <xf numFmtId="0" fontId="16" fillId="0" borderId="49" xfId="57" applyFont="1" applyFill="1" applyBorder="1" applyAlignment="1" applyProtection="1">
      <alignment horizontal="left" vertical="center" wrapText="1" indent="1"/>
      <protection/>
    </xf>
    <xf numFmtId="0" fontId="8" fillId="0" borderId="39" xfId="57" applyFont="1" applyFill="1" applyBorder="1" applyAlignment="1" applyProtection="1">
      <alignment horizontal="left" vertical="center" wrapText="1" indent="1"/>
      <protection/>
    </xf>
    <xf numFmtId="164" fontId="14" fillId="0" borderId="111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111" xfId="57" applyNumberFormat="1" applyFont="1" applyFill="1" applyBorder="1" applyAlignment="1" applyProtection="1">
      <alignment horizontal="right" vertical="center" wrapText="1"/>
      <protection/>
    </xf>
    <xf numFmtId="164" fontId="16" fillId="0" borderId="112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4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16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111" xfId="57" applyNumberFormat="1" applyFont="1" applyFill="1" applyBorder="1" applyAlignment="1" applyProtection="1">
      <alignment horizontal="right" vertical="center" wrapText="1"/>
      <protection/>
    </xf>
    <xf numFmtId="164" fontId="16" fillId="0" borderId="117" xfId="57" applyNumberFormat="1" applyFont="1" applyFill="1" applyBorder="1" applyAlignment="1" applyProtection="1">
      <alignment horizontal="right" vertical="center" wrapText="1"/>
      <protection locked="0"/>
    </xf>
    <xf numFmtId="164" fontId="18" fillId="0" borderId="111" xfId="57" applyNumberFormat="1" applyFont="1" applyFill="1" applyBorder="1" applyAlignment="1" applyProtection="1">
      <alignment horizontal="right" vertical="center" wrapText="1"/>
      <protection/>
    </xf>
    <xf numFmtId="0" fontId="8" fillId="0" borderId="40" xfId="57" applyFont="1" applyFill="1" applyBorder="1" applyAlignment="1" applyProtection="1">
      <alignment horizontal="center" vertical="center" wrapText="1"/>
      <protection/>
    </xf>
    <xf numFmtId="3" fontId="23" fillId="0" borderId="60" xfId="56" applyNumberFormat="1" applyFont="1" applyBorder="1">
      <alignment/>
      <protection/>
    </xf>
    <xf numFmtId="3" fontId="23" fillId="0" borderId="62" xfId="56" applyNumberFormat="1" applyFont="1" applyBorder="1">
      <alignment/>
      <protection/>
    </xf>
    <xf numFmtId="3" fontId="23" fillId="0" borderId="61" xfId="56" applyNumberFormat="1" applyFont="1" applyBorder="1">
      <alignment/>
      <protection/>
    </xf>
    <xf numFmtId="164" fontId="4" fillId="0" borderId="32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32" xfId="57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37" fontId="0" fillId="0" borderId="13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 horizontal="center"/>
    </xf>
    <xf numFmtId="37" fontId="0" fillId="0" borderId="28" xfId="0" applyNumberFormat="1" applyBorder="1" applyAlignment="1">
      <alignment/>
    </xf>
    <xf numFmtId="0" fontId="0" fillId="0" borderId="23" xfId="0" applyBorder="1" applyAlignment="1">
      <alignment horizontal="center"/>
    </xf>
    <xf numFmtId="49" fontId="16" fillId="0" borderId="22" xfId="57" applyNumberFormat="1" applyFont="1" applyFill="1" applyBorder="1" applyAlignment="1" applyProtection="1">
      <alignment horizontal="left" vertical="center" indent="1"/>
      <protection/>
    </xf>
    <xf numFmtId="49" fontId="16" fillId="0" borderId="25" xfId="57" applyNumberFormat="1" applyFont="1" applyFill="1" applyBorder="1" applyAlignment="1" applyProtection="1">
      <alignment horizontal="left" vertical="center" indent="1"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49" fontId="16" fillId="0" borderId="13" xfId="0" applyNumberFormat="1" applyFont="1" applyFill="1" applyBorder="1" applyAlignment="1" applyProtection="1">
      <alignment horizontal="right" vertical="center" wrapText="1"/>
      <protection/>
    </xf>
    <xf numFmtId="3" fontId="23" fillId="0" borderId="63" xfId="56" applyNumberFormat="1" applyFont="1" applyBorder="1">
      <alignment/>
      <protection/>
    </xf>
    <xf numFmtId="3" fontId="23" fillId="0" borderId="64" xfId="56" applyNumberFormat="1" applyFont="1" applyBorder="1">
      <alignment/>
      <protection/>
    </xf>
    <xf numFmtId="3" fontId="23" fillId="0" borderId="58" xfId="56" applyNumberFormat="1" applyFont="1" applyBorder="1">
      <alignment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3"/>
      <protection locked="0"/>
    </xf>
    <xf numFmtId="49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58" xfId="56" applyFont="1" applyBorder="1" applyAlignment="1">
      <alignment horizontal="center"/>
      <protection/>
    </xf>
    <xf numFmtId="3" fontId="4" fillId="0" borderId="32" xfId="57" applyNumberFormat="1" applyFont="1" applyFill="1" applyBorder="1" applyAlignment="1" applyProtection="1">
      <alignment vertical="center" wrapText="1"/>
      <protection/>
    </xf>
    <xf numFmtId="3" fontId="0" fillId="0" borderId="32" xfId="57" applyNumberFormat="1" applyFont="1" applyFill="1" applyBorder="1" applyAlignment="1">
      <alignment vertical="center"/>
      <protection/>
    </xf>
    <xf numFmtId="3" fontId="0" fillId="0" borderId="17" xfId="57" applyNumberFormat="1" applyFont="1" applyFill="1" applyBorder="1" applyAlignment="1">
      <alignment vertical="center"/>
      <protection/>
    </xf>
    <xf numFmtId="3" fontId="0" fillId="0" borderId="15" xfId="57" applyNumberFormat="1" applyFont="1" applyFill="1" applyBorder="1" applyAlignment="1" applyProtection="1">
      <alignment vertical="center" wrapText="1"/>
      <protection locked="0"/>
    </xf>
    <xf numFmtId="3" fontId="0" fillId="0" borderId="48" xfId="57" applyNumberFormat="1" applyFont="1" applyFill="1" applyBorder="1" applyAlignment="1" applyProtection="1">
      <alignment vertical="center" wrapText="1"/>
      <protection locked="0"/>
    </xf>
    <xf numFmtId="3" fontId="0" fillId="0" borderId="12" xfId="57" applyNumberFormat="1" applyFont="1" applyFill="1" applyBorder="1" applyAlignment="1" applyProtection="1">
      <alignment vertical="center" wrapText="1"/>
      <protection locked="0"/>
    </xf>
    <xf numFmtId="3" fontId="0" fillId="0" borderId="36" xfId="57" applyNumberFormat="1" applyFont="1" applyFill="1" applyBorder="1" applyAlignment="1" applyProtection="1">
      <alignment vertical="center" wrapText="1"/>
      <protection locked="0"/>
    </xf>
    <xf numFmtId="3" fontId="4" fillId="0" borderId="31" xfId="57" applyNumberFormat="1" applyFont="1" applyFill="1" applyBorder="1" applyAlignment="1" applyProtection="1">
      <alignment horizontal="right" vertical="center" wrapText="1"/>
      <protection/>
    </xf>
    <xf numFmtId="3" fontId="4" fillId="0" borderId="31" xfId="57" applyNumberFormat="1" applyFont="1" applyFill="1" applyBorder="1" applyAlignment="1" applyProtection="1">
      <alignment vertical="center" wrapText="1"/>
      <protection/>
    </xf>
    <xf numFmtId="3" fontId="4" fillId="0" borderId="39" xfId="57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Border="1" applyAlignment="1">
      <alignment/>
    </xf>
    <xf numFmtId="3" fontId="4" fillId="0" borderId="32" xfId="57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4" fillId="0" borderId="28" xfId="57" applyNumberFormat="1" applyFont="1" applyFill="1" applyBorder="1" applyAlignment="1">
      <alignment vertical="center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>
      <alignment horizontal="right" vertical="center" wrapText="1"/>
    </xf>
    <xf numFmtId="1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53" xfId="0" applyFont="1" applyBorder="1" applyAlignment="1">
      <alignment/>
    </xf>
    <xf numFmtId="37" fontId="21" fillId="0" borderId="36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left" indent="3"/>
    </xf>
    <xf numFmtId="3" fontId="29" fillId="0" borderId="12" xfId="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left" wrapText="1" indent="3"/>
    </xf>
    <xf numFmtId="3" fontId="29" fillId="0" borderId="12" xfId="0" applyNumberFormat="1" applyFont="1" applyFill="1" applyBorder="1" applyAlignment="1">
      <alignment horizontal="left" wrapText="1" indent="3"/>
    </xf>
    <xf numFmtId="3" fontId="29" fillId="0" borderId="13" xfId="0" applyNumberFormat="1" applyFont="1" applyFill="1" applyBorder="1" applyAlignment="1">
      <alignment horizontal="right" wrapText="1"/>
    </xf>
    <xf numFmtId="3" fontId="29" fillId="0" borderId="13" xfId="0" applyNumberFormat="1" applyFont="1" applyFill="1" applyBorder="1" applyAlignment="1">
      <alignment horizontal="left" wrapText="1" indent="3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indent="3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left" wrapText="1" indent="3"/>
    </xf>
    <xf numFmtId="0" fontId="3" fillId="0" borderId="15" xfId="0" applyFont="1" applyFill="1" applyBorder="1" applyAlignment="1">
      <alignment horizontal="left" indent="3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22" xfId="0" applyFont="1" applyFill="1" applyBorder="1" applyAlignment="1">
      <alignment horizontal="left" indent="2"/>
    </xf>
    <xf numFmtId="0" fontId="3" fillId="0" borderId="25" xfId="0" applyFont="1" applyFill="1" applyBorder="1" applyAlignment="1">
      <alignment horizontal="left" indent="2"/>
    </xf>
    <xf numFmtId="0" fontId="7" fillId="0" borderId="30" xfId="0" applyFont="1" applyFill="1" applyBorder="1" applyAlignment="1">
      <alignment horizontal="left" indent="2"/>
    </xf>
    <xf numFmtId="0" fontId="3" fillId="0" borderId="24" xfId="0" applyFont="1" applyFill="1" applyBorder="1" applyAlignment="1">
      <alignment horizontal="left" indent="2"/>
    </xf>
    <xf numFmtId="0" fontId="0" fillId="0" borderId="25" xfId="0" applyFill="1" applyBorder="1" applyAlignment="1">
      <alignment horizontal="left" indent="2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0" fontId="30" fillId="0" borderId="104" xfId="0" applyFont="1" applyBorder="1" applyAlignment="1">
      <alignment/>
    </xf>
    <xf numFmtId="0" fontId="30" fillId="0" borderId="96" xfId="0" applyFont="1" applyBorder="1" applyAlignment="1">
      <alignment horizontal="center"/>
    </xf>
    <xf numFmtId="3" fontId="30" fillId="0" borderId="96" xfId="0" applyNumberFormat="1" applyFont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32" xfId="0" applyFont="1" applyBorder="1" applyAlignment="1">
      <alignment horizontal="center"/>
    </xf>
    <xf numFmtId="0" fontId="0" fillId="6" borderId="111" xfId="0" applyFill="1" applyBorder="1" applyAlignment="1">
      <alignment horizontal="center"/>
    </xf>
    <xf numFmtId="0" fontId="0" fillId="6" borderId="40" xfId="0" applyFill="1" applyBorder="1" applyAlignment="1">
      <alignment/>
    </xf>
    <xf numFmtId="3" fontId="0" fillId="6" borderId="96" xfId="0" applyNumberFormat="1" applyFill="1" applyBorder="1" applyAlignment="1">
      <alignment/>
    </xf>
    <xf numFmtId="0" fontId="0" fillId="6" borderId="114" xfId="0" applyFill="1" applyBorder="1" applyAlignment="1">
      <alignment horizontal="center"/>
    </xf>
    <xf numFmtId="0" fontId="0" fillId="6" borderId="96" xfId="0" applyFill="1" applyBorder="1" applyAlignment="1">
      <alignment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right" vertical="center" wrapText="1"/>
      <protection/>
    </xf>
    <xf numFmtId="164" fontId="8" fillId="0" borderId="32" xfId="0" applyNumberFormat="1" applyFont="1" applyFill="1" applyBorder="1" applyAlignment="1">
      <alignment vertical="center" wrapText="1"/>
    </xf>
    <xf numFmtId="37" fontId="0" fillId="0" borderId="17" xfId="0" applyNumberFormat="1" applyBorder="1" applyAlignment="1">
      <alignment/>
    </xf>
    <xf numFmtId="164" fontId="16" fillId="0" borderId="10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9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98" xfId="57" applyNumberFormat="1" applyFont="1" applyFill="1" applyBorder="1" applyAlignment="1" applyProtection="1">
      <alignment horizontal="right" vertical="center" wrapText="1"/>
      <protection/>
    </xf>
    <xf numFmtId="164" fontId="16" fillId="0" borderId="100" xfId="57" applyNumberFormat="1" applyFont="1" applyFill="1" applyBorder="1" applyAlignment="1" applyProtection="1">
      <alignment horizontal="right" vertical="center" wrapText="1"/>
      <protection/>
    </xf>
    <xf numFmtId="164" fontId="16" fillId="0" borderId="100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103" xfId="57" applyNumberFormat="1" applyFont="1" applyFill="1" applyBorder="1" applyAlignment="1" applyProtection="1">
      <alignment horizontal="right" vertical="center" wrapText="1"/>
      <protection/>
    </xf>
    <xf numFmtId="164" fontId="1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7" applyNumberFormat="1" applyFont="1" applyFill="1" applyBorder="1" applyAlignment="1" applyProtection="1">
      <alignment horizontal="left" vertical="center" wrapText="1" indent="1"/>
      <protection/>
    </xf>
    <xf numFmtId="0" fontId="14" fillId="0" borderId="11" xfId="57" applyFont="1" applyFill="1" applyBorder="1" applyAlignment="1" applyProtection="1">
      <alignment horizontal="left" vertical="center" wrapText="1" indent="1"/>
      <protection/>
    </xf>
    <xf numFmtId="164" fontId="14" fillId="0" borderId="34" xfId="57" applyNumberFormat="1" applyFont="1" applyFill="1" applyBorder="1" applyAlignment="1" applyProtection="1">
      <alignment horizontal="right" vertical="center" wrapText="1"/>
      <protection/>
    </xf>
    <xf numFmtId="164" fontId="14" fillId="0" borderId="35" xfId="57" applyNumberFormat="1" applyFont="1" applyFill="1" applyBorder="1" applyAlignment="1" applyProtection="1">
      <alignment horizontal="right" vertical="center" wrapText="1"/>
      <protection/>
    </xf>
    <xf numFmtId="0" fontId="14" fillId="0" borderId="30" xfId="57" applyFont="1" applyFill="1" applyBorder="1" applyAlignment="1" applyProtection="1">
      <alignment horizontal="left" vertical="center" wrapText="1" indent="1"/>
      <protection/>
    </xf>
    <xf numFmtId="0" fontId="14" fillId="0" borderId="31" xfId="57" applyFont="1" applyFill="1" applyBorder="1" applyAlignment="1" applyProtection="1">
      <alignment horizontal="left" vertical="center" wrapText="1" indent="1"/>
      <protection/>
    </xf>
    <xf numFmtId="164" fontId="14" fillId="0" borderId="14" xfId="57" applyNumberFormat="1" applyFont="1" applyFill="1" applyBorder="1" applyAlignment="1" applyProtection="1">
      <alignment horizontal="right" vertical="center" wrapText="1"/>
      <protection/>
    </xf>
    <xf numFmtId="164" fontId="14" fillId="0" borderId="28" xfId="57" applyNumberFormat="1" applyFont="1" applyFill="1" applyBorder="1" applyAlignment="1" applyProtection="1">
      <alignment horizontal="right" vertical="center" wrapText="1"/>
      <protection/>
    </xf>
    <xf numFmtId="49" fontId="14" fillId="0" borderId="32" xfId="57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3" fontId="16" fillId="0" borderId="13" xfId="0" applyNumberFormat="1" applyFont="1" applyFill="1" applyBorder="1" applyAlignment="1" applyProtection="1">
      <alignment horizontal="right" vertical="center" wrapText="1"/>
      <protection/>
    </xf>
    <xf numFmtId="3" fontId="14" fillId="0" borderId="3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 horizontal="right"/>
    </xf>
    <xf numFmtId="0" fontId="24" fillId="0" borderId="80" xfId="56" applyFont="1" applyBorder="1" applyAlignment="1">
      <alignment horizontal="center"/>
      <protection/>
    </xf>
    <xf numFmtId="0" fontId="16" fillId="0" borderId="0" xfId="57" applyFont="1" applyFill="1" applyBorder="1" applyAlignment="1" applyProtection="1">
      <alignment horizontal="left" indent="1"/>
      <protection/>
    </xf>
    <xf numFmtId="0" fontId="16" fillId="0" borderId="24" xfId="57" applyFont="1" applyFill="1" applyBorder="1" applyAlignment="1" applyProtection="1">
      <alignment horizontal="left" vertical="center" wrapText="1"/>
      <protection/>
    </xf>
    <xf numFmtId="0" fontId="16" fillId="0" borderId="22" xfId="57" applyFont="1" applyFill="1" applyBorder="1" applyAlignment="1" applyProtection="1">
      <alignment horizontal="left" vertical="center" wrapText="1"/>
      <protection/>
    </xf>
    <xf numFmtId="0" fontId="16" fillId="0" borderId="22" xfId="57" applyFont="1" applyFill="1" applyBorder="1" applyAlignment="1" applyProtection="1">
      <alignment horizontal="left"/>
      <protection/>
    </xf>
    <xf numFmtId="0" fontId="16" fillId="0" borderId="22" xfId="57" applyFont="1" applyFill="1" applyBorder="1" applyAlignment="1" applyProtection="1">
      <alignment horizontal="left" vertical="center" wrapText="1"/>
      <protection/>
    </xf>
    <xf numFmtId="0" fontId="16" fillId="0" borderId="25" xfId="57" applyFont="1" applyFill="1" applyBorder="1" applyAlignment="1" applyProtection="1">
      <alignment horizontal="left" vertical="center" wrapText="1"/>
      <protection/>
    </xf>
    <xf numFmtId="0" fontId="14" fillId="0" borderId="52" xfId="57" applyFont="1" applyFill="1" applyBorder="1" applyAlignment="1" applyProtection="1">
      <alignment horizontal="left" vertical="center" wrapText="1" indent="1"/>
      <protection/>
    </xf>
    <xf numFmtId="164" fontId="14" fillId="0" borderId="112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21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0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4" fillId="0" borderId="99" xfId="57" applyNumberFormat="1" applyFont="1" applyFill="1" applyBorder="1" applyAlignment="1" applyProtection="1">
      <alignment horizontal="right" vertical="center" wrapText="1"/>
      <protection locked="0"/>
    </xf>
    <xf numFmtId="49" fontId="0" fillId="0" borderId="26" xfId="57" applyNumberFormat="1" applyFont="1" applyFill="1" applyBorder="1" applyAlignment="1" applyProtection="1">
      <alignment horizontal="center" vertical="center" wrapText="1"/>
      <protection/>
    </xf>
    <xf numFmtId="49" fontId="0" fillId="0" borderId="24" xfId="57" applyNumberFormat="1" applyFont="1" applyFill="1" applyBorder="1" applyAlignment="1" applyProtection="1">
      <alignment horizontal="center" vertical="center" wrapText="1"/>
      <protection/>
    </xf>
    <xf numFmtId="49" fontId="0" fillId="0" borderId="22" xfId="57" applyNumberFormat="1" applyFont="1" applyFill="1" applyBorder="1" applyAlignment="1" applyProtection="1">
      <alignment horizontal="center" vertical="center" wrapText="1"/>
      <protection/>
    </xf>
    <xf numFmtId="49" fontId="4" fillId="0" borderId="30" xfId="57" applyNumberFormat="1" applyFont="1" applyFill="1" applyBorder="1" applyAlignment="1" applyProtection="1">
      <alignment horizontal="center" vertical="center" wrapText="1"/>
      <protection/>
    </xf>
    <xf numFmtId="49" fontId="26" fillId="0" borderId="67" xfId="56" applyNumberFormat="1" applyFont="1" applyBorder="1" applyAlignment="1">
      <alignment horizontal="center"/>
      <protection/>
    </xf>
    <xf numFmtId="164" fontId="16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 wrapText="1"/>
      <protection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3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3"/>
      <protection locked="0"/>
    </xf>
    <xf numFmtId="49" fontId="16" fillId="0" borderId="16" xfId="0" applyNumberFormat="1" applyFont="1" applyFill="1" applyBorder="1" applyAlignment="1" applyProtection="1">
      <alignment horizontal="right" vertical="center" wrapText="1"/>
      <protection/>
    </xf>
    <xf numFmtId="49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32" xfId="0" applyNumberFormat="1" applyFont="1" applyFill="1" applyBorder="1" applyAlignment="1" applyProtection="1">
      <alignment horizontal="right" vertical="center" wrapText="1"/>
      <protection/>
    </xf>
    <xf numFmtId="1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7" applyNumberFormat="1" applyFont="1" applyFill="1" applyBorder="1" applyAlignment="1" applyProtection="1">
      <alignment horizontal="right" vertical="center" wrapText="1"/>
      <protection/>
    </xf>
    <xf numFmtId="164" fontId="16" fillId="0" borderId="12" xfId="57" applyNumberFormat="1" applyFont="1" applyFill="1" applyBorder="1" applyAlignment="1" applyProtection="1">
      <alignment horizontal="right" vertical="center" wrapText="1"/>
      <protection/>
    </xf>
    <xf numFmtId="164" fontId="16" fillId="0" borderId="20" xfId="57" applyNumberFormat="1" applyFont="1" applyFill="1" applyBorder="1" applyAlignment="1" applyProtection="1">
      <alignment horizontal="right" vertical="center" wrapText="1"/>
      <protection/>
    </xf>
    <xf numFmtId="164" fontId="16" fillId="0" borderId="29" xfId="57" applyNumberFormat="1" applyFont="1" applyFill="1" applyBorder="1" applyAlignment="1" applyProtection="1">
      <alignment horizontal="right" vertical="center" wrapText="1"/>
      <protection/>
    </xf>
    <xf numFmtId="164" fontId="16" fillId="0" borderId="28" xfId="57" applyNumberFormat="1" applyFont="1" applyFill="1" applyBorder="1" applyAlignment="1" applyProtection="1">
      <alignment horizontal="right" vertical="center" wrapText="1"/>
      <protection/>
    </xf>
    <xf numFmtId="164" fontId="16" fillId="0" borderId="92" xfId="57" applyNumberFormat="1" applyFont="1" applyFill="1" applyBorder="1" applyAlignment="1" applyProtection="1">
      <alignment horizontal="right" vertical="center" wrapText="1"/>
      <protection/>
    </xf>
    <xf numFmtId="164" fontId="16" fillId="0" borderId="10" xfId="57" applyNumberFormat="1" applyFont="1" applyFill="1" applyBorder="1" applyAlignment="1" applyProtection="1">
      <alignment horizontal="right" vertical="center" wrapText="1"/>
      <protection/>
    </xf>
    <xf numFmtId="164" fontId="16" fillId="0" borderId="118" xfId="57" applyNumberFormat="1" applyFont="1" applyFill="1" applyBorder="1" applyAlignment="1" applyProtection="1">
      <alignment horizontal="right" vertical="center" wrapText="1"/>
      <protection/>
    </xf>
    <xf numFmtId="164" fontId="16" fillId="0" borderId="119" xfId="57" applyNumberFormat="1" applyFont="1" applyFill="1" applyBorder="1" applyAlignment="1" applyProtection="1">
      <alignment horizontal="right" vertical="center" wrapText="1"/>
      <protection/>
    </xf>
    <xf numFmtId="3" fontId="14" fillId="0" borderId="32" xfId="57" applyNumberFormat="1" applyFont="1" applyFill="1" applyBorder="1" applyAlignment="1" applyProtection="1">
      <alignment vertical="center" wrapText="1"/>
      <protection/>
    </xf>
    <xf numFmtId="3" fontId="16" fillId="0" borderId="15" xfId="57" applyNumberFormat="1" applyFont="1" applyFill="1" applyBorder="1" applyAlignment="1" applyProtection="1">
      <alignment vertical="center" wrapText="1"/>
      <protection/>
    </xf>
    <xf numFmtId="3" fontId="16" fillId="0" borderId="12" xfId="57" applyNumberFormat="1" applyFont="1" applyFill="1" applyBorder="1" applyAlignment="1" applyProtection="1">
      <alignment vertical="center" wrapText="1"/>
      <protection/>
    </xf>
    <xf numFmtId="3" fontId="16" fillId="0" borderId="20" xfId="57" applyNumberFormat="1" applyFont="1" applyFill="1" applyBorder="1" applyAlignment="1" applyProtection="1">
      <alignment vertical="center" wrapText="1"/>
      <protection/>
    </xf>
    <xf numFmtId="164" fontId="16" fillId="0" borderId="34" xfId="57" applyNumberFormat="1" applyFont="1" applyFill="1" applyBorder="1" applyAlignment="1" applyProtection="1">
      <alignment vertical="center" wrapText="1"/>
      <protection/>
    </xf>
    <xf numFmtId="164" fontId="16" fillId="0" borderId="35" xfId="57" applyNumberFormat="1" applyFont="1" applyFill="1" applyBorder="1" applyAlignment="1" applyProtection="1">
      <alignment vertical="center" wrapText="1"/>
      <protection/>
    </xf>
    <xf numFmtId="164" fontId="16" fillId="0" borderId="106" xfId="57" applyNumberFormat="1" applyFont="1" applyFill="1" applyBorder="1" applyAlignment="1" applyProtection="1">
      <alignment vertical="center" wrapText="1"/>
      <protection/>
    </xf>
    <xf numFmtId="0" fontId="16" fillId="0" borderId="25" xfId="58" applyFont="1" applyFill="1" applyBorder="1" applyAlignment="1" applyProtection="1">
      <alignment horizontal="left" vertical="center" indent="1"/>
      <protection/>
    </xf>
    <xf numFmtId="49" fontId="16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14" fillId="0" borderId="27" xfId="57" applyFont="1" applyFill="1" applyBorder="1" applyAlignment="1" applyProtection="1">
      <alignment horizontal="center" vertical="center" wrapText="1"/>
      <protection/>
    </xf>
    <xf numFmtId="0" fontId="14" fillId="0" borderId="40" xfId="57" applyFont="1" applyFill="1" applyBorder="1" applyAlignment="1" applyProtection="1">
      <alignment horizontal="center" vertical="center" wrapText="1"/>
      <protection/>
    </xf>
    <xf numFmtId="0" fontId="14" fillId="0" borderId="40" xfId="57" applyFont="1" applyFill="1" applyBorder="1" applyAlignment="1" applyProtection="1">
      <alignment horizontal="left" vertical="center" wrapText="1" indent="1"/>
      <protection/>
    </xf>
    <xf numFmtId="164" fontId="14" fillId="0" borderId="40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39" xfId="57" applyFont="1" applyFill="1" applyBorder="1" applyAlignment="1" applyProtection="1">
      <alignment horizontal="left" vertical="center" wrapText="1" indent="1"/>
      <protection/>
    </xf>
    <xf numFmtId="0" fontId="4" fillId="0" borderId="40" xfId="57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/>
    </xf>
    <xf numFmtId="164" fontId="4" fillId="0" borderId="40" xfId="57" applyNumberFormat="1" applyFont="1" applyFill="1" applyBorder="1" applyAlignment="1" applyProtection="1">
      <alignment horizontal="right" vertical="center" wrapText="1"/>
      <protection locked="0"/>
    </xf>
    <xf numFmtId="3" fontId="4" fillId="0" borderId="40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95" xfId="57" applyFont="1" applyFill="1" applyBorder="1" applyAlignment="1" applyProtection="1">
      <alignment vertical="center" wrapText="1"/>
      <protection/>
    </xf>
    <xf numFmtId="0" fontId="4" fillId="0" borderId="40" xfId="57" applyFont="1" applyFill="1" applyBorder="1" applyAlignment="1" applyProtection="1">
      <alignment vertical="center" wrapText="1"/>
      <protection/>
    </xf>
    <xf numFmtId="164" fontId="4" fillId="0" borderId="40" xfId="57" applyNumberFormat="1" applyFont="1" applyFill="1" applyBorder="1" applyAlignment="1" applyProtection="1">
      <alignment vertical="center" wrapText="1"/>
      <protection/>
    </xf>
    <xf numFmtId="3" fontId="4" fillId="0" borderId="40" xfId="57" applyNumberFormat="1" applyFont="1" applyFill="1" applyBorder="1" applyAlignment="1" applyProtection="1">
      <alignment vertical="center" wrapText="1"/>
      <protection/>
    </xf>
    <xf numFmtId="10" fontId="0" fillId="0" borderId="40" xfId="57" applyNumberFormat="1" applyFont="1" applyFill="1" applyBorder="1">
      <alignment/>
      <protection/>
    </xf>
    <xf numFmtId="3" fontId="4" fillId="0" borderId="40" xfId="57" applyNumberFormat="1" applyFont="1" applyFill="1" applyBorder="1" applyAlignment="1" applyProtection="1">
      <alignment horizontal="right" vertical="center" wrapText="1" indent="1"/>
      <protection/>
    </xf>
    <xf numFmtId="3" fontId="4" fillId="0" borderId="40" xfId="57" applyNumberFormat="1" applyFont="1" applyFill="1" applyBorder="1" applyAlignment="1">
      <alignment vertical="center"/>
      <protection/>
    </xf>
    <xf numFmtId="3" fontId="0" fillId="18" borderId="32" xfId="57" applyNumberFormat="1" applyFont="1" applyFill="1" applyBorder="1" applyAlignment="1">
      <alignment vertical="center"/>
      <protection/>
    </xf>
    <xf numFmtId="0" fontId="6" fillId="0" borderId="1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7" fontId="24" fillId="0" borderId="53" xfId="56" applyNumberFormat="1" applyFont="1" applyBorder="1" applyAlignment="1">
      <alignment horizontal="right"/>
      <protection/>
    </xf>
    <xf numFmtId="37" fontId="24" fillId="0" borderId="80" xfId="56" applyNumberFormat="1" applyFont="1" applyBorder="1" applyAlignment="1">
      <alignment horizontal="right"/>
      <protection/>
    </xf>
    <xf numFmtId="164" fontId="14" fillId="0" borderId="40" xfId="57" applyNumberFormat="1" applyFont="1" applyFill="1" applyBorder="1" applyAlignment="1" applyProtection="1">
      <alignment horizontal="right" vertical="center" wrapText="1"/>
      <protection/>
    </xf>
    <xf numFmtId="0" fontId="4" fillId="0" borderId="62" xfId="0" applyFont="1" applyBorder="1" applyAlignment="1">
      <alignment/>
    </xf>
    <xf numFmtId="0" fontId="4" fillId="0" borderId="109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Border="1" applyAlignment="1">
      <alignment wrapText="1"/>
    </xf>
    <xf numFmtId="0" fontId="0" fillId="0" borderId="25" xfId="0" applyNumberFormat="1" applyBorder="1" applyAlignment="1">
      <alignment wrapText="1"/>
    </xf>
    <xf numFmtId="0" fontId="4" fillId="0" borderId="30" xfId="0" applyNumberFormat="1" applyFont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  <xf numFmtId="0" fontId="31" fillId="0" borderId="0" xfId="0" applyFont="1" applyFill="1" applyAlignment="1">
      <alignment/>
    </xf>
    <xf numFmtId="164" fontId="0" fillId="0" borderId="118" xfId="0" applyNumberFormat="1" applyFont="1" applyFill="1" applyBorder="1" applyAlignment="1">
      <alignment horizontal="center" vertical="center"/>
    </xf>
    <xf numFmtId="164" fontId="0" fillId="0" borderId="119" xfId="0" applyNumberFormat="1" applyFont="1" applyFill="1" applyBorder="1" applyAlignment="1">
      <alignment horizontal="center" vertical="center"/>
    </xf>
    <xf numFmtId="164" fontId="0" fillId="0" borderId="114" xfId="0" applyNumberFormat="1" applyFont="1" applyFill="1" applyBorder="1" applyAlignment="1">
      <alignment horizontal="center" vertical="center"/>
    </xf>
    <xf numFmtId="164" fontId="0" fillId="0" borderId="120" xfId="0" applyNumberFormat="1" applyFont="1" applyFill="1" applyBorder="1" applyAlignment="1">
      <alignment horizontal="center" vertical="center"/>
    </xf>
    <xf numFmtId="164" fontId="0" fillId="0" borderId="106" xfId="0" applyNumberFormat="1" applyFont="1" applyFill="1" applyBorder="1" applyAlignment="1">
      <alignment horizontal="center" vertical="center" wrapText="1"/>
    </xf>
    <xf numFmtId="164" fontId="0" fillId="0" borderId="111" xfId="0" applyNumberFormat="1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164" fontId="0" fillId="0" borderId="104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center" vertical="center" wrapText="1"/>
    </xf>
    <xf numFmtId="164" fontId="0" fillId="0" borderId="121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104" xfId="0" applyNumberFormat="1" applyFont="1" applyFill="1" applyBorder="1" applyAlignment="1">
      <alignment horizontal="left" vertical="center" wrapText="1" indent="1"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40" xfId="0" applyNumberFormat="1" applyFont="1" applyFill="1" applyBorder="1" applyAlignment="1" applyProtection="1">
      <alignment vertical="center" wrapText="1"/>
      <protection/>
    </xf>
    <xf numFmtId="164" fontId="0" fillId="0" borderId="30" xfId="0" applyNumberFormat="1" applyFont="1" applyFill="1" applyBorder="1" applyAlignment="1" applyProtection="1">
      <alignment vertical="center" wrapText="1"/>
      <protection/>
    </xf>
    <xf numFmtId="164" fontId="0" fillId="0" borderId="31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ont="1" applyFill="1" applyBorder="1" applyAlignment="1" applyProtection="1">
      <alignment vertical="center" wrapText="1"/>
      <protection/>
    </xf>
    <xf numFmtId="164" fontId="0" fillId="0" borderId="40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44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44" xfId="0" applyNumberFormat="1" applyFont="1" applyFill="1" applyBorder="1" applyAlignment="1">
      <alignment vertical="center" wrapText="1"/>
    </xf>
    <xf numFmtId="164" fontId="0" fillId="0" borderId="10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4" xfId="0" applyNumberFormat="1" applyFont="1" applyFill="1" applyBorder="1" applyAlignment="1">
      <alignment horizontal="left" vertical="center" wrapText="1" indent="1"/>
    </xf>
    <xf numFmtId="164" fontId="0" fillId="0" borderId="73" xfId="0" applyNumberFormat="1" applyFont="1" applyFill="1" applyBorder="1" applyAlignment="1">
      <alignment horizontal="left" vertical="center" wrapText="1" inden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1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121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47" xfId="0" applyNumberFormat="1" applyFont="1" applyFill="1" applyBorder="1" applyAlignment="1">
      <alignment vertical="center" wrapText="1"/>
    </xf>
    <xf numFmtId="164" fontId="0" fillId="0" borderId="113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1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119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 locked="0"/>
    </xf>
    <xf numFmtId="164" fontId="0" fillId="0" borderId="119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47" xfId="0" applyNumberFormat="1" applyFont="1" applyFill="1" applyBorder="1" applyAlignment="1" applyProtection="1">
      <alignment vertical="center" wrapText="1"/>
      <protection locked="0"/>
    </xf>
    <xf numFmtId="164" fontId="0" fillId="0" borderId="25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7" xfId="0" applyNumberFormat="1" applyFont="1" applyFill="1" applyBorder="1" applyAlignment="1" applyProtection="1">
      <alignment vertical="center" wrapText="1"/>
      <protection locked="0"/>
    </xf>
    <xf numFmtId="164" fontId="0" fillId="0" borderId="121" xfId="0" applyNumberFormat="1" applyFont="1" applyFill="1" applyBorder="1" applyAlignment="1">
      <alignment vertical="center" wrapText="1"/>
    </xf>
    <xf numFmtId="164" fontId="4" fillId="0" borderId="40" xfId="0" applyNumberFormat="1" applyFont="1" applyFill="1" applyBorder="1" applyAlignment="1">
      <alignment horizontal="left" vertical="center" wrapText="1" indent="1"/>
    </xf>
    <xf numFmtId="164" fontId="4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40" xfId="0" applyNumberFormat="1" applyFont="1" applyFill="1" applyBorder="1" applyAlignment="1" applyProtection="1">
      <alignment vertical="center" wrapText="1"/>
      <protection/>
    </xf>
    <xf numFmtId="164" fontId="4" fillId="0" borderId="30" xfId="0" applyNumberFormat="1" applyFont="1" applyFill="1" applyBorder="1" applyAlignment="1" applyProtection="1">
      <alignment vertical="center" wrapText="1"/>
      <protection/>
    </xf>
    <xf numFmtId="164" fontId="4" fillId="0" borderId="31" xfId="0" applyNumberFormat="1" applyFont="1" applyFill="1" applyBorder="1" applyAlignment="1" applyProtection="1">
      <alignment vertical="center" wrapText="1"/>
      <protection/>
    </xf>
    <xf numFmtId="164" fontId="4" fillId="0" borderId="32" xfId="0" applyNumberFormat="1" applyFont="1" applyFill="1" applyBorder="1" applyAlignment="1" applyProtection="1">
      <alignment vertical="center" wrapText="1"/>
      <protection/>
    </xf>
    <xf numFmtId="164" fontId="4" fillId="0" borderId="40" xfId="0" applyNumberFormat="1" applyFont="1" applyFill="1" applyBorder="1" applyAlignment="1">
      <alignment vertical="center" wrapText="1"/>
    </xf>
    <xf numFmtId="164" fontId="4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4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04" xfId="0" applyNumberFormat="1" applyFont="1" applyFill="1" applyBorder="1" applyAlignment="1">
      <alignment horizontal="left" vertical="center" wrapText="1" indent="2"/>
    </xf>
    <xf numFmtId="164" fontId="4" fillId="18" borderId="39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4" fillId="0" borderId="30" xfId="58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/>
    </xf>
    <xf numFmtId="37" fontId="4" fillId="0" borderId="28" xfId="0" applyNumberFormat="1" applyFont="1" applyBorder="1" applyAlignment="1">
      <alignment/>
    </xf>
    <xf numFmtId="37" fontId="24" fillId="0" borderId="80" xfId="56" applyNumberFormat="1" applyFont="1" applyBorder="1" applyAlignment="1">
      <alignment horizontal="center"/>
      <protection/>
    </xf>
    <xf numFmtId="37" fontId="24" fillId="0" borderId="77" xfId="56" applyNumberFormat="1" applyFont="1" applyBorder="1" applyAlignment="1">
      <alignment horizontal="center"/>
      <protection/>
    </xf>
    <xf numFmtId="37" fontId="24" fillId="0" borderId="82" xfId="56" applyNumberFormat="1" applyFont="1" applyBorder="1" applyAlignment="1">
      <alignment horizontal="center"/>
      <protection/>
    </xf>
    <xf numFmtId="0" fontId="24" fillId="0" borderId="122" xfId="56" applyFont="1" applyBorder="1" applyAlignment="1">
      <alignment horizontal="center"/>
      <protection/>
    </xf>
    <xf numFmtId="37" fontId="24" fillId="0" borderId="57" xfId="56" applyNumberFormat="1" applyFont="1" applyBorder="1" applyAlignment="1">
      <alignment horizontal="center" vertical="center"/>
      <protection/>
    </xf>
    <xf numFmtId="0" fontId="24" fillId="0" borderId="123" xfId="56" applyFont="1" applyBorder="1" applyAlignment="1">
      <alignment horizontal="center"/>
      <protection/>
    </xf>
    <xf numFmtId="0" fontId="24" fillId="0" borderId="78" xfId="56" applyFont="1" applyBorder="1" applyAlignment="1">
      <alignment horizontal="center"/>
      <protection/>
    </xf>
    <xf numFmtId="0" fontId="24" fillId="0" borderId="81" xfId="56" applyFont="1" applyBorder="1" applyAlignment="1">
      <alignment horizontal="center"/>
      <protection/>
    </xf>
    <xf numFmtId="37" fontId="24" fillId="0" borderId="56" xfId="56" applyNumberFormat="1" applyFont="1" applyBorder="1" applyAlignment="1">
      <alignment horizontal="center" vertical="center"/>
      <protection/>
    </xf>
    <xf numFmtId="37" fontId="24" fillId="0" borderId="20" xfId="56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164" fontId="7" fillId="0" borderId="0" xfId="57" applyNumberFormat="1" applyFont="1" applyFill="1" applyBorder="1" applyAlignment="1" applyProtection="1">
      <alignment horizontal="center" vertical="center"/>
      <protection/>
    </xf>
    <xf numFmtId="0" fontId="16" fillId="0" borderId="92" xfId="57" applyFont="1" applyFill="1" applyBorder="1" applyAlignment="1" applyProtection="1">
      <alignment horizontal="left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33" xfId="57" applyFont="1" applyFill="1" applyBorder="1" applyAlignment="1" applyProtection="1">
      <alignment horizontal="center" vertical="center" wrapText="1"/>
      <protection/>
    </xf>
    <xf numFmtId="0" fontId="4" fillId="0" borderId="23" xfId="57" applyFont="1" applyFill="1" applyBorder="1" applyAlignment="1" applyProtection="1">
      <alignment horizontal="center" vertical="center" wrapText="1"/>
      <protection/>
    </xf>
    <xf numFmtId="0" fontId="4" fillId="0" borderId="92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64" fontId="4" fillId="0" borderId="111" xfId="57" applyNumberFormat="1" applyFont="1" applyFill="1" applyBorder="1" applyAlignment="1" applyProtection="1">
      <alignment horizontal="center" vertical="center"/>
      <protection/>
    </xf>
    <xf numFmtId="0" fontId="0" fillId="0" borderId="104" xfId="0" applyBorder="1" applyAlignment="1">
      <alignment/>
    </xf>
    <xf numFmtId="0" fontId="0" fillId="0" borderId="96" xfId="0" applyBorder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21" fillId="0" borderId="0" xfId="56" applyFont="1" applyAlignment="1">
      <alignment horizontal="center"/>
      <protection/>
    </xf>
    <xf numFmtId="0" fontId="24" fillId="0" borderId="79" xfId="56" applyFont="1" applyBorder="1" applyAlignment="1">
      <alignment horizontal="center" vertical="center" wrapText="1"/>
      <protection/>
    </xf>
    <xf numFmtId="0" fontId="24" fillId="0" borderId="53" xfId="56" applyFont="1" applyBorder="1" applyAlignment="1">
      <alignment horizontal="center" vertical="center" wrapText="1"/>
      <protection/>
    </xf>
    <xf numFmtId="0" fontId="24" fillId="0" borderId="78" xfId="56" applyFont="1" applyBorder="1" applyAlignment="1">
      <alignment horizontal="center" vertical="center"/>
      <protection/>
    </xf>
    <xf numFmtId="0" fontId="24" fillId="0" borderId="81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/>
      <protection/>
    </xf>
    <xf numFmtId="0" fontId="24" fillId="0" borderId="55" xfId="56" applyFont="1" applyBorder="1" applyAlignment="1">
      <alignment horizontal="center" vertical="center"/>
      <protection/>
    </xf>
    <xf numFmtId="37" fontId="24" fillId="0" borderId="79" xfId="56" applyNumberFormat="1" applyFont="1" applyBorder="1" applyAlignment="1">
      <alignment horizontal="center" vertical="center"/>
      <protection/>
    </xf>
    <xf numFmtId="37" fontId="24" fillId="0" borderId="78" xfId="56" applyNumberFormat="1" applyFont="1" applyBorder="1" applyAlignment="1">
      <alignment horizontal="center" vertical="center"/>
      <protection/>
    </xf>
    <xf numFmtId="37" fontId="24" fillId="0" borderId="81" xfId="56" applyNumberFormat="1" applyFont="1" applyBorder="1" applyAlignment="1">
      <alignment horizontal="center" vertical="center"/>
      <protection/>
    </xf>
    <xf numFmtId="0" fontId="24" fillId="0" borderId="77" xfId="56" applyFont="1" applyBorder="1" applyAlignment="1">
      <alignment horizontal="center"/>
      <protection/>
    </xf>
    <xf numFmtId="0" fontId="24" fillId="0" borderId="82" xfId="56" applyFont="1" applyBorder="1" applyAlignment="1">
      <alignment horizontal="center"/>
      <protection/>
    </xf>
    <xf numFmtId="37" fontId="24" fillId="0" borderId="84" xfId="56" applyNumberFormat="1" applyFont="1" applyBorder="1" applyAlignment="1">
      <alignment horizontal="center" vertical="center" wrapText="1"/>
      <protection/>
    </xf>
    <xf numFmtId="0" fontId="22" fillId="0" borderId="86" xfId="56" applyBorder="1" applyAlignment="1">
      <alignment horizontal="center" vertical="center" wrapText="1"/>
      <protection/>
    </xf>
    <xf numFmtId="0" fontId="22" fillId="0" borderId="124" xfId="56" applyBorder="1" applyAlignment="1">
      <alignment horizontal="center" vertical="center" wrapText="1"/>
      <protection/>
    </xf>
    <xf numFmtId="37" fontId="24" fillId="0" borderId="125" xfId="56" applyNumberFormat="1" applyFont="1" applyBorder="1" applyAlignment="1">
      <alignment horizontal="center" vertical="center" wrapText="1"/>
      <protection/>
    </xf>
    <xf numFmtId="37" fontId="24" fillId="0" borderId="11" xfId="56" applyNumberFormat="1" applyFont="1" applyBorder="1" applyAlignment="1">
      <alignment horizontal="center" vertical="center" wrapText="1"/>
      <protection/>
    </xf>
    <xf numFmtId="37" fontId="25" fillId="0" borderId="126" xfId="56" applyNumberFormat="1" applyFont="1" applyBorder="1" applyAlignment="1">
      <alignment horizontal="center" vertical="center" wrapText="1"/>
      <protection/>
    </xf>
    <xf numFmtId="37" fontId="24" fillId="0" borderId="127" xfId="56" applyNumberFormat="1" applyFont="1" applyBorder="1" applyAlignment="1">
      <alignment horizontal="center" vertical="center" wrapText="1"/>
      <protection/>
    </xf>
    <xf numFmtId="0" fontId="22" fillId="0" borderId="71" xfId="56" applyBorder="1" applyAlignment="1">
      <alignment horizontal="center" vertical="center" wrapText="1"/>
      <protection/>
    </xf>
    <xf numFmtId="0" fontId="22" fillId="0" borderId="128" xfId="56" applyBorder="1" applyAlignment="1">
      <alignment horizontal="center" vertical="center" wrapText="1"/>
      <protection/>
    </xf>
    <xf numFmtId="0" fontId="24" fillId="0" borderId="36" xfId="56" applyFont="1" applyBorder="1" applyAlignment="1">
      <alignment horizontal="center" vertical="center"/>
      <protection/>
    </xf>
    <xf numFmtId="0" fontId="24" fillId="0" borderId="73" xfId="56" applyFont="1" applyBorder="1" applyAlignment="1">
      <alignment horizontal="center" vertical="center"/>
      <protection/>
    </xf>
    <xf numFmtId="0" fontId="24" fillId="0" borderId="89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/>
      <protection/>
    </xf>
    <xf numFmtId="0" fontId="24" fillId="0" borderId="55" xfId="56" applyFont="1" applyBorder="1" applyAlignment="1">
      <alignment horizontal="center"/>
      <protection/>
    </xf>
    <xf numFmtId="37" fontId="24" fillId="0" borderId="129" xfId="56" applyNumberFormat="1" applyFont="1" applyBorder="1" applyAlignment="1">
      <alignment horizontal="center" vertical="center" wrapText="1"/>
      <protection/>
    </xf>
    <xf numFmtId="0" fontId="22" fillId="0" borderId="52" xfId="56" applyBorder="1" applyAlignment="1">
      <alignment horizontal="center" vertical="center" wrapText="1"/>
      <protection/>
    </xf>
    <xf numFmtId="0" fontId="22" fillId="0" borderId="130" xfId="56" applyBorder="1" applyAlignment="1">
      <alignment horizontal="center" vertical="center" wrapText="1"/>
      <protection/>
    </xf>
    <xf numFmtId="0" fontId="24" fillId="0" borderId="36" xfId="56" applyFont="1" applyBorder="1" applyAlignment="1">
      <alignment horizontal="left"/>
      <protection/>
    </xf>
    <xf numFmtId="0" fontId="24" fillId="0" borderId="73" xfId="56" applyFont="1" applyBorder="1" applyAlignment="1">
      <alignment horizontal="left"/>
      <protection/>
    </xf>
    <xf numFmtId="0" fontId="24" fillId="0" borderId="89" xfId="56" applyFont="1" applyBorder="1" applyAlignment="1">
      <alignment horizontal="left"/>
      <protection/>
    </xf>
    <xf numFmtId="0" fontId="0" fillId="0" borderId="73" xfId="0" applyBorder="1" applyAlignment="1">
      <alignment horizontal="left"/>
    </xf>
    <xf numFmtId="0" fontId="0" fillId="0" borderId="89" xfId="0" applyBorder="1" applyAlignment="1">
      <alignment horizontal="left"/>
    </xf>
    <xf numFmtId="0" fontId="22" fillId="0" borderId="73" xfId="56" applyBorder="1" applyAlignment="1">
      <alignment horizontal="left"/>
      <protection/>
    </xf>
    <xf numFmtId="0" fontId="22" fillId="0" borderId="89" xfId="56" applyBorder="1" applyAlignment="1">
      <alignment horizontal="left"/>
      <protection/>
    </xf>
    <xf numFmtId="0" fontId="23" fillId="0" borderId="76" xfId="56" applyFont="1" applyBorder="1" applyAlignment="1">
      <alignment horizontal="center" vertical="center"/>
      <protection/>
    </xf>
    <xf numFmtId="0" fontId="23" fillId="0" borderId="131" xfId="56" applyFont="1" applyBorder="1" applyAlignment="1">
      <alignment horizontal="center" vertical="center"/>
      <protection/>
    </xf>
    <xf numFmtId="0" fontId="23" fillId="0" borderId="132" xfId="56" applyFont="1" applyBorder="1" applyAlignment="1">
      <alignment horizontal="center" vertical="center"/>
      <protection/>
    </xf>
    <xf numFmtId="0" fontId="23" fillId="0" borderId="87" xfId="56" applyFont="1" applyBorder="1" applyAlignment="1">
      <alignment horizontal="center" vertical="center"/>
      <protection/>
    </xf>
    <xf numFmtId="0" fontId="23" fillId="0" borderId="133" xfId="56" applyFont="1" applyBorder="1" applyAlignment="1">
      <alignment horizontal="center" vertical="center"/>
      <protection/>
    </xf>
    <xf numFmtId="0" fontId="23" fillId="0" borderId="108" xfId="56" applyFont="1" applyBorder="1" applyAlignment="1">
      <alignment horizontal="center" vertical="center"/>
      <protection/>
    </xf>
    <xf numFmtId="0" fontId="23" fillId="0" borderId="87" xfId="56" applyFont="1" applyBorder="1" applyAlignment="1">
      <alignment horizontal="center" vertical="center" wrapText="1"/>
      <protection/>
    </xf>
    <xf numFmtId="0" fontId="23" fillId="0" borderId="133" xfId="56" applyFont="1" applyBorder="1" applyAlignment="1">
      <alignment horizontal="center" vertical="center" wrapText="1"/>
      <protection/>
    </xf>
    <xf numFmtId="0" fontId="23" fillId="0" borderId="108" xfId="56" applyFont="1" applyBorder="1" applyAlignment="1">
      <alignment horizontal="center" vertical="center" wrapText="1"/>
      <protection/>
    </xf>
    <xf numFmtId="0" fontId="26" fillId="0" borderId="59" xfId="56" applyFont="1" applyBorder="1" applyAlignment="1">
      <alignment horizontal="left"/>
      <protection/>
    </xf>
    <xf numFmtId="0" fontId="26" fillId="0" borderId="60" xfId="56" applyFont="1" applyBorder="1" applyAlignment="1">
      <alignment horizontal="left"/>
      <protection/>
    </xf>
    <xf numFmtId="0" fontId="26" fillId="0" borderId="61" xfId="56" applyFont="1" applyBorder="1" applyAlignment="1">
      <alignment horizontal="left"/>
      <protection/>
    </xf>
    <xf numFmtId="0" fontId="0" fillId="0" borderId="134" xfId="0" applyBorder="1" applyAlignment="1">
      <alignment horizontal="center" vertical="center" wrapText="1"/>
    </xf>
    <xf numFmtId="37" fontId="24" fillId="0" borderId="86" xfId="56" applyNumberFormat="1" applyFont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37" fontId="24" fillId="0" borderId="124" xfId="56" applyNumberFormat="1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3" fontId="23" fillId="0" borderId="76" xfId="56" applyNumberFormat="1" applyFont="1" applyBorder="1" applyAlignment="1">
      <alignment horizontal="right"/>
      <protection/>
    </xf>
    <xf numFmtId="0" fontId="0" fillId="0" borderId="123" xfId="0" applyBorder="1" applyAlignment="1">
      <alignment horizontal="right"/>
    </xf>
    <xf numFmtId="37" fontId="24" fillId="0" borderId="88" xfId="56" applyNumberFormat="1" applyFont="1" applyBorder="1" applyAlignment="1">
      <alignment horizontal="center" vertical="center" wrapText="1"/>
      <protection/>
    </xf>
    <xf numFmtId="0" fontId="22" fillId="0" borderId="135" xfId="56" applyBorder="1" applyAlignment="1">
      <alignment horizontal="center" vertical="center" wrapText="1"/>
      <protection/>
    </xf>
    <xf numFmtId="0" fontId="22" fillId="0" borderId="136" xfId="56" applyBorder="1" applyAlignment="1">
      <alignment horizontal="center" vertical="center" wrapText="1"/>
      <protection/>
    </xf>
    <xf numFmtId="0" fontId="24" fillId="0" borderId="46" xfId="56" applyFont="1" applyBorder="1" applyAlignment="1">
      <alignment horizontal="left"/>
      <protection/>
    </xf>
    <xf numFmtId="0" fontId="22" fillId="0" borderId="90" xfId="56" applyBorder="1" applyAlignment="1">
      <alignment horizontal="left"/>
      <protection/>
    </xf>
    <xf numFmtId="0" fontId="22" fillId="0" borderId="91" xfId="56" applyBorder="1" applyAlignment="1">
      <alignment horizontal="left"/>
      <protection/>
    </xf>
    <xf numFmtId="3" fontId="23" fillId="0" borderId="54" xfId="56" applyNumberFormat="1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3" fontId="23" fillId="0" borderId="87" xfId="56" applyNumberFormat="1" applyFont="1" applyBorder="1" applyAlignment="1">
      <alignment horizontal="right"/>
      <protection/>
    </xf>
    <xf numFmtId="3" fontId="23" fillId="0" borderId="122" xfId="56" applyNumberFormat="1" applyFont="1" applyBorder="1" applyAlignment="1">
      <alignment horizontal="right"/>
      <protection/>
    </xf>
    <xf numFmtId="3" fontId="23" fillId="0" borderId="62" xfId="56" applyNumberFormat="1" applyFont="1" applyBorder="1" applyAlignment="1">
      <alignment/>
      <protection/>
    </xf>
    <xf numFmtId="0" fontId="0" fillId="0" borderId="65" xfId="0" applyBorder="1" applyAlignment="1">
      <alignment/>
    </xf>
    <xf numFmtId="164" fontId="7" fillId="0" borderId="0" xfId="5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" fillId="0" borderId="26" xfId="57" applyFont="1" applyFill="1" applyBorder="1" applyAlignment="1" applyProtection="1">
      <alignment horizontal="center" vertical="center" wrapText="1"/>
      <protection/>
    </xf>
    <xf numFmtId="0" fontId="4" fillId="0" borderId="22" xfId="57" applyFont="1" applyFill="1" applyBorder="1" applyAlignment="1" applyProtection="1">
      <alignment horizontal="center" vertical="center" wrapText="1"/>
      <protection/>
    </xf>
    <xf numFmtId="0" fontId="4" fillId="0" borderId="49" xfId="57" applyFont="1" applyFill="1" applyBorder="1" applyAlignment="1" applyProtection="1">
      <alignment horizontal="center" vertical="center" wrapText="1"/>
      <protection/>
    </xf>
    <xf numFmtId="0" fontId="4" fillId="0" borderId="36" xfId="57" applyFont="1" applyFill="1" applyBorder="1" applyAlignment="1" applyProtection="1">
      <alignment horizontal="center" vertical="center" wrapText="1"/>
      <protection/>
    </xf>
    <xf numFmtId="164" fontId="4" fillId="0" borderId="30" xfId="57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118" xfId="0" applyFont="1" applyFill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64" fontId="4" fillId="0" borderId="111" xfId="0" applyNumberFormat="1" applyFont="1" applyFill="1" applyBorder="1" applyAlignment="1">
      <alignment horizontal="left" vertical="center" wrapText="1" indent="2"/>
    </xf>
    <xf numFmtId="164" fontId="4" fillId="0" borderId="96" xfId="0" applyNumberFormat="1" applyFont="1" applyFill="1" applyBorder="1" applyAlignment="1">
      <alignment horizontal="left" vertical="center" wrapText="1" indent="2"/>
    </xf>
    <xf numFmtId="164" fontId="0" fillId="0" borderId="118" xfId="0" applyNumberFormat="1" applyFont="1" applyFill="1" applyBorder="1" applyAlignment="1">
      <alignment horizontal="center" vertical="center"/>
    </xf>
    <xf numFmtId="164" fontId="0" fillId="0" borderId="119" xfId="0" applyNumberFormat="1" applyFont="1" applyFill="1" applyBorder="1" applyAlignment="1">
      <alignment horizontal="center" vertical="center"/>
    </xf>
    <xf numFmtId="164" fontId="0" fillId="0" borderId="117" xfId="0" applyNumberFormat="1" applyFont="1" applyFill="1" applyBorder="1" applyAlignment="1">
      <alignment horizontal="center" vertical="center"/>
    </xf>
    <xf numFmtId="164" fontId="0" fillId="0" borderId="105" xfId="0" applyNumberFormat="1" applyFont="1" applyFill="1" applyBorder="1" applyAlignment="1">
      <alignment horizontal="center" vertical="center"/>
    </xf>
    <xf numFmtId="164" fontId="0" fillId="0" borderId="103" xfId="0" applyNumberFormat="1" applyFont="1" applyFill="1" applyBorder="1" applyAlignment="1">
      <alignment horizontal="center" vertical="center"/>
    </xf>
    <xf numFmtId="164" fontId="0" fillId="0" borderId="118" xfId="0" applyNumberFormat="1" applyFont="1" applyFill="1" applyBorder="1" applyAlignment="1">
      <alignment horizontal="center" vertical="center" wrapText="1"/>
    </xf>
    <xf numFmtId="164" fontId="0" fillId="0" borderId="119" xfId="0" applyNumberFormat="1" applyFont="1" applyFill="1" applyBorder="1" applyAlignment="1">
      <alignment horizontal="center" vertical="center" wrapText="1"/>
    </xf>
    <xf numFmtId="0" fontId="24" fillId="0" borderId="36" xfId="56" applyFont="1" applyBorder="1" applyAlignment="1">
      <alignment horizontal="left" wrapText="1"/>
      <protection/>
    </xf>
    <xf numFmtId="0" fontId="22" fillId="0" borderId="73" xfId="56" applyBorder="1" applyAlignment="1">
      <alignment horizontal="left" wrapText="1"/>
      <protection/>
    </xf>
    <xf numFmtId="0" fontId="22" fillId="0" borderId="89" xfId="56" applyBorder="1" applyAlignment="1">
      <alignment horizontal="left" wrapText="1"/>
      <protection/>
    </xf>
    <xf numFmtId="0" fontId="0" fillId="0" borderId="73" xfId="0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24" fillId="0" borderId="130" xfId="56" applyFont="1" applyBorder="1" applyAlignment="1">
      <alignment horizontal="left" wrapText="1"/>
      <protection/>
    </xf>
    <xf numFmtId="0" fontId="22" fillId="0" borderId="137" xfId="56" applyBorder="1" applyAlignment="1">
      <alignment horizontal="left"/>
      <protection/>
    </xf>
    <xf numFmtId="0" fontId="22" fillId="0" borderId="69" xfId="56" applyBorder="1" applyAlignment="1">
      <alignment horizontal="left"/>
      <protection/>
    </xf>
    <xf numFmtId="0" fontId="26" fillId="0" borderId="130" xfId="56" applyFont="1" applyBorder="1" applyAlignment="1">
      <alignment horizontal="left"/>
      <protection/>
    </xf>
    <xf numFmtId="0" fontId="26" fillId="0" borderId="137" xfId="56" applyFont="1" applyBorder="1" applyAlignment="1">
      <alignment horizontal="left"/>
      <protection/>
    </xf>
    <xf numFmtId="0" fontId="26" fillId="0" borderId="69" xfId="56" applyFont="1" applyBorder="1" applyAlignment="1">
      <alignment horizontal="left"/>
      <protection/>
    </xf>
    <xf numFmtId="0" fontId="23" fillId="0" borderId="0" xfId="56" applyFont="1" applyBorder="1" applyAlignment="1">
      <alignment horizontal="center" vertical="center"/>
      <protection/>
    </xf>
    <xf numFmtId="0" fontId="23" fillId="0" borderId="0" xfId="56" applyFont="1" applyBorder="1" applyAlignment="1">
      <alignment horizontal="center" vertical="center" wrapText="1"/>
      <protection/>
    </xf>
    <xf numFmtId="37" fontId="24" fillId="0" borderId="0" xfId="56" applyNumberFormat="1" applyFont="1" applyBorder="1" applyAlignment="1">
      <alignment horizontal="center" vertical="center" wrapText="1"/>
      <protection/>
    </xf>
    <xf numFmtId="0" fontId="22" fillId="0" borderId="0" xfId="56" applyBorder="1" applyAlignment="1">
      <alignment horizontal="center" vertical="center" wrapText="1"/>
      <protection/>
    </xf>
    <xf numFmtId="37" fontId="25" fillId="0" borderId="0" xfId="56" applyNumberFormat="1" applyFont="1" applyBorder="1" applyAlignment="1">
      <alignment horizontal="center" vertical="center" wrapText="1"/>
      <protection/>
    </xf>
    <xf numFmtId="0" fontId="28" fillId="0" borderId="60" xfId="56" applyFont="1" applyBorder="1" applyAlignment="1">
      <alignment horizontal="left"/>
      <protection/>
    </xf>
    <xf numFmtId="0" fontId="28" fillId="0" borderId="61" xfId="56" applyFont="1" applyBorder="1" applyAlignment="1">
      <alignment horizontal="left"/>
      <protection/>
    </xf>
    <xf numFmtId="37" fontId="21" fillId="0" borderId="62" xfId="56" applyNumberFormat="1" applyFont="1" applyBorder="1" applyAlignment="1">
      <alignment horizontal="right"/>
      <protection/>
    </xf>
    <xf numFmtId="0" fontId="0" fillId="0" borderId="65" xfId="0" applyBorder="1" applyAlignment="1">
      <alignment horizontal="right"/>
    </xf>
    <xf numFmtId="0" fontId="0" fillId="0" borderId="122" xfId="0" applyBorder="1" applyAlignment="1">
      <alignment horizontal="right"/>
    </xf>
    <xf numFmtId="0" fontId="15" fillId="0" borderId="39" xfId="58" applyFont="1" applyFill="1" applyBorder="1" applyAlignment="1" applyProtection="1">
      <alignment horizontal="left" vertical="center" indent="1"/>
      <protection/>
    </xf>
    <xf numFmtId="0" fontId="15" fillId="0" borderId="104" xfId="58" applyFont="1" applyFill="1" applyBorder="1" applyAlignment="1" applyProtection="1">
      <alignment horizontal="left" vertical="center" indent="1"/>
      <protection/>
    </xf>
    <xf numFmtId="0" fontId="15" fillId="0" borderId="96" xfId="58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left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6szakfelbont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20" zoomScaleNormal="120" zoomScalePageLayoutView="0" workbookViewId="0" topLeftCell="A1">
      <selection activeCell="F93" sqref="F93"/>
    </sheetView>
  </sheetViews>
  <sheetFormatPr defaultColWidth="9.00390625" defaultRowHeight="12.75"/>
  <cols>
    <col min="1" max="1" width="6.125" style="61" customWidth="1"/>
    <col min="2" max="2" width="41.875" style="61" customWidth="1"/>
    <col min="3" max="3" width="9.875" style="61" bestFit="1" customWidth="1"/>
    <col min="4" max="4" width="10.50390625" style="61" bestFit="1" customWidth="1"/>
    <col min="5" max="5" width="11.125" style="61" bestFit="1" customWidth="1"/>
    <col min="6" max="6" width="9.875" style="61" bestFit="1" customWidth="1"/>
    <col min="7" max="7" width="10.125" style="61" customWidth="1"/>
    <col min="8" max="16384" width="9.375" style="61" customWidth="1"/>
  </cols>
  <sheetData>
    <row r="1" spans="1:5" ht="15.75" customHeight="1">
      <c r="A1" s="60" t="s">
        <v>0</v>
      </c>
      <c r="B1" s="60"/>
      <c r="C1" s="60"/>
      <c r="D1" s="60"/>
      <c r="E1" s="60"/>
    </row>
    <row r="2" spans="1:5" ht="15.75" customHeight="1" thickBot="1">
      <c r="A2" s="7"/>
      <c r="B2" s="7"/>
      <c r="C2" s="7"/>
      <c r="D2" s="907" t="s">
        <v>37</v>
      </c>
      <c r="E2" s="907"/>
    </row>
    <row r="3" spans="1:7" ht="37.5" customHeight="1" thickBot="1">
      <c r="A3" s="42" t="s">
        <v>59</v>
      </c>
      <c r="B3" s="43" t="s">
        <v>2</v>
      </c>
      <c r="C3" s="43" t="s">
        <v>151</v>
      </c>
      <c r="D3" s="43" t="s">
        <v>136</v>
      </c>
      <c r="E3" s="62" t="s">
        <v>152</v>
      </c>
      <c r="F3" s="43" t="s">
        <v>329</v>
      </c>
      <c r="G3" s="62" t="s">
        <v>153</v>
      </c>
    </row>
    <row r="4" spans="1:7" s="63" customFormat="1" ht="12" customHeight="1" thickBot="1">
      <c r="A4" s="781">
        <v>1</v>
      </c>
      <c r="B4" s="781">
        <v>2</v>
      </c>
      <c r="C4" s="781">
        <v>3</v>
      </c>
      <c r="D4" s="781">
        <v>4</v>
      </c>
      <c r="E4" s="781">
        <v>5</v>
      </c>
      <c r="F4" s="781">
        <v>6</v>
      </c>
      <c r="G4" s="781">
        <v>7</v>
      </c>
    </row>
    <row r="5" spans="1:7" s="2" customFormat="1" ht="12" customHeight="1" thickBot="1">
      <c r="A5" s="782" t="s">
        <v>3</v>
      </c>
      <c r="B5" s="782" t="s">
        <v>114</v>
      </c>
      <c r="C5" s="506">
        <f>C6+C7</f>
        <v>655818</v>
      </c>
      <c r="D5" s="506">
        <f>D6+D7</f>
        <v>721450</v>
      </c>
      <c r="E5" s="506">
        <f>E6+E7</f>
        <v>731932</v>
      </c>
      <c r="F5" s="506">
        <f>F6+F7</f>
        <v>545756</v>
      </c>
      <c r="G5" s="506">
        <f>G6+G7</f>
        <v>561015</v>
      </c>
    </row>
    <row r="6" spans="1:7" s="2" customFormat="1" ht="12" customHeight="1" thickBot="1">
      <c r="A6" s="782" t="s">
        <v>4</v>
      </c>
      <c r="B6" s="782" t="s">
        <v>141</v>
      </c>
      <c r="C6" s="506">
        <f>'3.PH '!C5+'4.iskola'!C8</f>
        <v>93201</v>
      </c>
      <c r="D6" s="506">
        <f>'3.PH '!D5+'4.iskola'!D8</f>
        <v>96844</v>
      </c>
      <c r="E6" s="506">
        <f>'3.PH '!E5+'4.iskola'!E8</f>
        <v>96845</v>
      </c>
      <c r="F6" s="506">
        <f>'3.PH '!F5+'4.iskola'!F8</f>
        <v>76359</v>
      </c>
      <c r="G6" s="506">
        <f>'3.PH '!G5+'4.iskola'!G8</f>
        <v>59443</v>
      </c>
    </row>
    <row r="7" spans="1:7" s="2" customFormat="1" ht="25.5" customHeight="1" thickBot="1">
      <c r="A7" s="782" t="s">
        <v>5</v>
      </c>
      <c r="B7" s="782" t="s">
        <v>154</v>
      </c>
      <c r="C7" s="506">
        <f>SUM(C8:C13)</f>
        <v>562617</v>
      </c>
      <c r="D7" s="506">
        <f>SUM(D8:D13)</f>
        <v>624606</v>
      </c>
      <c r="E7" s="506">
        <f>SUM(E8:E13)</f>
        <v>635087</v>
      </c>
      <c r="F7" s="506">
        <f>SUM(F8:F13)</f>
        <v>469397</v>
      </c>
      <c r="G7" s="506">
        <f>SUM(G8:G13)</f>
        <v>501572</v>
      </c>
    </row>
    <row r="8" spans="1:7" s="2" customFormat="1" ht="12" customHeight="1">
      <c r="A8" s="20" t="s">
        <v>96</v>
      </c>
      <c r="B8" s="8" t="s">
        <v>155</v>
      </c>
      <c r="C8" s="511">
        <f>'3.PH '!C7</f>
        <v>18830</v>
      </c>
      <c r="D8" s="511">
        <f>'3.PH '!D7</f>
        <v>18000</v>
      </c>
      <c r="E8" s="511">
        <f>'3.PH '!E7</f>
        <v>18000</v>
      </c>
      <c r="F8" s="511">
        <f>'3.PH '!F7</f>
        <v>19045</v>
      </c>
      <c r="G8" s="515">
        <f>'3.PH '!G7</f>
        <v>20000</v>
      </c>
    </row>
    <row r="9" spans="1:7" s="2" customFormat="1" ht="12" customHeight="1">
      <c r="A9" s="21" t="s">
        <v>97</v>
      </c>
      <c r="B9" s="9" t="s">
        <v>308</v>
      </c>
      <c r="C9" s="510">
        <f>'3.PH '!C8</f>
        <v>218115</v>
      </c>
      <c r="D9" s="510">
        <f>'3.PH '!D8</f>
        <v>240000</v>
      </c>
      <c r="E9" s="510">
        <f>'3.PH '!E8</f>
        <v>240000</v>
      </c>
      <c r="F9" s="510">
        <f>'3.PH '!F8</f>
        <v>170252</v>
      </c>
      <c r="G9" s="516">
        <f>'3.PH '!G8</f>
        <v>210000</v>
      </c>
    </row>
    <row r="10" spans="1:7" s="2" customFormat="1" ht="12" customHeight="1">
      <c r="A10" s="21" t="s">
        <v>98</v>
      </c>
      <c r="B10" s="9" t="s">
        <v>157</v>
      </c>
      <c r="C10" s="510">
        <f>'3.PH '!C9</f>
        <v>9473</v>
      </c>
      <c r="D10" s="510">
        <f>'3.PH '!D9</f>
        <v>8000</v>
      </c>
      <c r="E10" s="510">
        <f>'3.PH '!E9</f>
        <v>8000</v>
      </c>
      <c r="F10" s="510">
        <f>'3.PH '!F9</f>
        <v>4335</v>
      </c>
      <c r="G10" s="516">
        <f>'3.PH '!G9</f>
        <v>6200</v>
      </c>
    </row>
    <row r="11" spans="1:7" s="2" customFormat="1" ht="12" customHeight="1">
      <c r="A11" s="21" t="s">
        <v>99</v>
      </c>
      <c r="B11" s="9" t="s">
        <v>158</v>
      </c>
      <c r="C11" s="510">
        <f>'3.PH '!C10</f>
        <v>61110</v>
      </c>
      <c r="D11" s="510">
        <f>'3.PH '!D10</f>
        <v>83000</v>
      </c>
      <c r="E11" s="510">
        <f>'3.PH '!E10</f>
        <v>83000</v>
      </c>
      <c r="F11" s="510">
        <f>'3.PH '!F10</f>
        <v>61242</v>
      </c>
      <c r="G11" s="516">
        <f>'3.PH '!G10</f>
        <v>70000</v>
      </c>
    </row>
    <row r="12" spans="1:7" s="2" customFormat="1" ht="12" customHeight="1">
      <c r="A12" s="21" t="s">
        <v>160</v>
      </c>
      <c r="B12" s="9" t="s">
        <v>159</v>
      </c>
      <c r="C12" s="510">
        <f>'3.PH '!C11</f>
        <v>221579</v>
      </c>
      <c r="D12" s="510">
        <f>'3.PH '!D11</f>
        <v>241306</v>
      </c>
      <c r="E12" s="510">
        <f>'3.PH '!E11</f>
        <v>251787</v>
      </c>
      <c r="F12" s="510">
        <f>'3.PH '!F11</f>
        <v>194798</v>
      </c>
      <c r="G12" s="516">
        <f>'3.PH '!G11</f>
        <v>192472</v>
      </c>
    </row>
    <row r="13" spans="1:7" s="2" customFormat="1" ht="12" customHeight="1" thickBot="1">
      <c r="A13" s="22" t="s">
        <v>161</v>
      </c>
      <c r="B13" s="11" t="s">
        <v>143</v>
      </c>
      <c r="C13" s="512">
        <f>'3.PH '!C12</f>
        <v>33510</v>
      </c>
      <c r="D13" s="512">
        <f>'3.PH '!D12</f>
        <v>34300</v>
      </c>
      <c r="E13" s="512">
        <f>'3.PH '!E12</f>
        <v>34300</v>
      </c>
      <c r="F13" s="512">
        <f>'3.PH '!F12</f>
        <v>19725</v>
      </c>
      <c r="G13" s="517">
        <f>'3.PH '!G12</f>
        <v>2900</v>
      </c>
    </row>
    <row r="14" spans="1:7" s="2" customFormat="1" ht="12" customHeight="1" thickBot="1">
      <c r="A14" s="32" t="s">
        <v>6</v>
      </c>
      <c r="B14" s="33" t="s">
        <v>360</v>
      </c>
      <c r="C14" s="65">
        <f>SUM(C15:C20)</f>
        <v>358721</v>
      </c>
      <c r="D14" s="65">
        <f>SUM(D15:D20)</f>
        <v>262504</v>
      </c>
      <c r="E14" s="65">
        <f>SUM(E15:E20)</f>
        <v>283442</v>
      </c>
      <c r="F14" s="65">
        <f>SUM(F15:F20)</f>
        <v>234663</v>
      </c>
      <c r="G14" s="66">
        <f>SUM(G15:G20)</f>
        <v>329166</v>
      </c>
    </row>
    <row r="15" spans="1:7" s="2" customFormat="1" ht="12" customHeight="1">
      <c r="A15" s="23" t="s">
        <v>100</v>
      </c>
      <c r="B15" s="12" t="s">
        <v>163</v>
      </c>
      <c r="C15" s="513">
        <f>'3.PH '!C14</f>
        <v>10985</v>
      </c>
      <c r="D15" s="513">
        <f>'3.PH '!D14</f>
        <v>4105</v>
      </c>
      <c r="E15" s="513">
        <f>'3.PH '!E14</f>
        <v>4105</v>
      </c>
      <c r="F15" s="513">
        <f>'3.PH '!F14</f>
        <v>3799</v>
      </c>
      <c r="G15" s="518">
        <f>'3.PH '!G14</f>
        <v>28599</v>
      </c>
    </row>
    <row r="16" spans="1:7" s="2" customFormat="1" ht="12" customHeight="1">
      <c r="A16" s="21" t="s">
        <v>101</v>
      </c>
      <c r="B16" s="9" t="s">
        <v>164</v>
      </c>
      <c r="C16" s="513">
        <f>'3.PH '!C15</f>
        <v>257577</v>
      </c>
      <c r="D16" s="513">
        <f>'3.PH '!D15</f>
        <v>255178</v>
      </c>
      <c r="E16" s="513">
        <f>'3.PH '!E15</f>
        <v>254986</v>
      </c>
      <c r="F16" s="513">
        <f>'3.PH '!F15</f>
        <v>198672</v>
      </c>
      <c r="G16" s="518">
        <f>'3.PH '!G15</f>
        <v>250362</v>
      </c>
    </row>
    <row r="17" spans="1:7" s="2" customFormat="1" ht="12" customHeight="1">
      <c r="A17" s="21" t="s">
        <v>102</v>
      </c>
      <c r="B17" s="9" t="s">
        <v>110</v>
      </c>
      <c r="C17" s="513">
        <f>'3.PH '!C16</f>
        <v>1053</v>
      </c>
      <c r="D17" s="513">
        <f>'3.PH '!D16</f>
        <v>1049</v>
      </c>
      <c r="E17" s="513">
        <f>'3.PH '!E16</f>
        <v>1049</v>
      </c>
      <c r="F17" s="513">
        <f>'3.PH '!F16</f>
        <v>588</v>
      </c>
      <c r="G17" s="518">
        <f>'3.PH '!G16</f>
        <v>1041</v>
      </c>
    </row>
    <row r="18" spans="1:7" s="2" customFormat="1" ht="12" customHeight="1">
      <c r="A18" s="24" t="s">
        <v>137</v>
      </c>
      <c r="B18" s="9" t="s">
        <v>165</v>
      </c>
      <c r="C18" s="513">
        <f>'3.PH '!C17</f>
        <v>28770</v>
      </c>
      <c r="D18" s="513">
        <f>'3.PH '!D17</f>
        <v>2172</v>
      </c>
      <c r="E18" s="513">
        <f>'3.PH '!E17</f>
        <v>6993</v>
      </c>
      <c r="F18" s="513">
        <f>'3.PH '!F17</f>
        <v>16876</v>
      </c>
      <c r="G18" s="518">
        <f>'3.PH '!G17</f>
        <v>49164</v>
      </c>
    </row>
    <row r="19" spans="1:7" s="2" customFormat="1" ht="12" customHeight="1">
      <c r="A19" s="24" t="s">
        <v>138</v>
      </c>
      <c r="B19" s="9" t="s">
        <v>166</v>
      </c>
      <c r="C19" s="513">
        <f>'3.PH '!C18</f>
        <v>7609</v>
      </c>
      <c r="D19" s="513">
        <f>'3.PH '!D18</f>
        <v>0</v>
      </c>
      <c r="E19" s="513">
        <f>'3.PH '!E18</f>
        <v>0</v>
      </c>
      <c r="F19" s="513">
        <f>'3.PH '!F18</f>
        <v>14728</v>
      </c>
      <c r="G19" s="518">
        <f>'3.PH '!G18</f>
        <v>0</v>
      </c>
    </row>
    <row r="20" spans="1:7" s="2" customFormat="1" ht="21" customHeight="1" thickBot="1">
      <c r="A20" s="779" t="s">
        <v>513</v>
      </c>
      <c r="B20" s="8" t="s">
        <v>345</v>
      </c>
      <c r="C20" s="513">
        <f>'3.PH '!C19</f>
        <v>52727</v>
      </c>
      <c r="D20" s="513">
        <f>'3.PH '!D19</f>
        <v>0</v>
      </c>
      <c r="E20" s="513">
        <f>'3.PH '!E19</f>
        <v>16309</v>
      </c>
      <c r="F20" s="513">
        <f>'3.PH '!F19</f>
        <v>0</v>
      </c>
      <c r="G20" s="518">
        <f>'3.PH '!G19</f>
        <v>0</v>
      </c>
    </row>
    <row r="21" spans="1:7" s="2" customFormat="1" ht="21.75" customHeight="1" thickBot="1">
      <c r="A21" s="32" t="s">
        <v>7</v>
      </c>
      <c r="B21" s="33" t="s">
        <v>359</v>
      </c>
      <c r="C21" s="65">
        <f>SUM(C22:C24)</f>
        <v>44648</v>
      </c>
      <c r="D21" s="65">
        <f>SUM(D22:D24)</f>
        <v>40450</v>
      </c>
      <c r="E21" s="66">
        <f>SUM(E22:E24)</f>
        <v>40450</v>
      </c>
      <c r="F21" s="65">
        <f>SUM(F22:F24)</f>
        <v>240</v>
      </c>
      <c r="G21" s="66">
        <f>SUM(G22:G24)</f>
        <v>46390</v>
      </c>
    </row>
    <row r="22" spans="1:7" s="2" customFormat="1" ht="12" customHeight="1">
      <c r="A22" s="23" t="s">
        <v>103</v>
      </c>
      <c r="B22" s="12" t="s">
        <v>81</v>
      </c>
      <c r="C22" s="513">
        <f>'3.PH '!C21</f>
        <v>28447</v>
      </c>
      <c r="D22" s="513">
        <f>'3.PH '!D21</f>
        <v>40000</v>
      </c>
      <c r="E22" s="513">
        <f>'3.PH '!E21</f>
        <v>40000</v>
      </c>
      <c r="F22" s="513">
        <f>'3.PH '!F21</f>
        <v>0</v>
      </c>
      <c r="G22" s="518">
        <f>'3.PH '!G21</f>
        <v>30000</v>
      </c>
    </row>
    <row r="23" spans="1:7" s="2" customFormat="1" ht="12" customHeight="1">
      <c r="A23" s="20" t="s">
        <v>104</v>
      </c>
      <c r="B23" s="9" t="s">
        <v>162</v>
      </c>
      <c r="C23" s="513">
        <f>'3.PH '!C22</f>
        <v>420</v>
      </c>
      <c r="D23" s="513">
        <f>'3.PH '!D22</f>
        <v>450</v>
      </c>
      <c r="E23" s="513">
        <f>'3.PH '!E22</f>
        <v>450</v>
      </c>
      <c r="F23" s="513">
        <f>'3.PH '!F22</f>
        <v>240</v>
      </c>
      <c r="G23" s="518">
        <f>'3.PH '!G22</f>
        <v>450</v>
      </c>
    </row>
    <row r="24" spans="1:7" s="2" customFormat="1" ht="12" customHeight="1" thickBot="1">
      <c r="A24" s="24" t="s">
        <v>105</v>
      </c>
      <c r="B24" s="730" t="s">
        <v>82</v>
      </c>
      <c r="C24" s="513">
        <f>'3.PH '!C23</f>
        <v>15781</v>
      </c>
      <c r="D24" s="513">
        <f>'3.PH '!D23</f>
        <v>0</v>
      </c>
      <c r="E24" s="513">
        <f>'3.PH '!E23</f>
        <v>0</v>
      </c>
      <c r="F24" s="513">
        <f>'3.PH '!F23</f>
        <v>0</v>
      </c>
      <c r="G24" s="518">
        <f>'3.PH '!G23</f>
        <v>15940</v>
      </c>
    </row>
    <row r="25" spans="1:7" s="2" customFormat="1" ht="22.5" customHeight="1" thickBot="1">
      <c r="A25" s="32" t="s">
        <v>8</v>
      </c>
      <c r="B25" s="33" t="s">
        <v>368</v>
      </c>
      <c r="C25" s="65">
        <f>SUM(C26:C33)</f>
        <v>64617</v>
      </c>
      <c r="D25" s="65">
        <f>SUM(D26:D33)</f>
        <v>33092</v>
      </c>
      <c r="E25" s="65">
        <f>SUM(E26:E33)</f>
        <v>38302</v>
      </c>
      <c r="F25" s="65">
        <f>SUM(F26:F33)</f>
        <v>37230</v>
      </c>
      <c r="G25" s="66">
        <f>SUM(G26:G34)</f>
        <v>36324</v>
      </c>
    </row>
    <row r="26" spans="1:7" s="2" customFormat="1" ht="12" customHeight="1">
      <c r="A26" s="23" t="s">
        <v>106</v>
      </c>
      <c r="B26" s="38" t="s">
        <v>111</v>
      </c>
      <c r="C26" s="67">
        <f>'3.PH '!C25</f>
        <v>18188</v>
      </c>
      <c r="D26" s="67">
        <f>'3.PH '!D25</f>
        <v>17892</v>
      </c>
      <c r="E26" s="67">
        <f>'3.PH '!E25</f>
        <v>17892</v>
      </c>
      <c r="F26" s="67">
        <f>'3.PH '!F25</f>
        <v>16386</v>
      </c>
      <c r="G26" s="68">
        <f>'3.PH '!G25</f>
        <v>16500</v>
      </c>
    </row>
    <row r="27" spans="1:7" s="2" customFormat="1" ht="12" customHeight="1">
      <c r="A27" s="607" t="s">
        <v>515</v>
      </c>
      <c r="B27" s="38" t="s">
        <v>39</v>
      </c>
      <c r="C27" s="67">
        <f>'3.PH '!C26</f>
        <v>2110</v>
      </c>
      <c r="D27" s="67">
        <f>'3.PH '!D26</f>
        <v>700</v>
      </c>
      <c r="E27" s="67">
        <f>'3.PH '!E26</f>
        <v>2133</v>
      </c>
      <c r="F27" s="67">
        <f>'3.PH '!F26</f>
        <v>1433</v>
      </c>
      <c r="G27" s="68">
        <f>'3.PH '!G26</f>
        <v>0</v>
      </c>
    </row>
    <row r="28" spans="1:7" s="2" customFormat="1" ht="12" customHeight="1">
      <c r="A28" s="607" t="s">
        <v>516</v>
      </c>
      <c r="B28" s="38" t="s">
        <v>112</v>
      </c>
      <c r="C28" s="67">
        <f>'3.PH '!C27</f>
        <v>7857</v>
      </c>
      <c r="D28" s="67">
        <f>'3.PH '!D27</f>
        <v>0</v>
      </c>
      <c r="E28" s="67">
        <f>'3.PH '!E27</f>
        <v>3777</v>
      </c>
      <c r="F28" s="67">
        <f>'3.PH '!F27</f>
        <v>4620</v>
      </c>
      <c r="G28" s="68">
        <f>'3.PH '!G27</f>
        <v>0</v>
      </c>
    </row>
    <row r="29" spans="1:7" s="2" customFormat="1" ht="12" customHeight="1">
      <c r="A29" s="607" t="s">
        <v>517</v>
      </c>
      <c r="B29" s="39" t="s">
        <v>132</v>
      </c>
      <c r="C29" s="67">
        <f>'3.PH '!C28</f>
        <v>4909</v>
      </c>
      <c r="D29" s="67">
        <f>'3.PH '!D28</f>
        <v>4500</v>
      </c>
      <c r="E29" s="67">
        <f>'3.PH '!E28</f>
        <v>4500</v>
      </c>
      <c r="F29" s="67">
        <f>'3.PH '!F28</f>
        <v>3995</v>
      </c>
      <c r="G29" s="68">
        <f>'3.PH '!G28</f>
        <v>7824</v>
      </c>
    </row>
    <row r="30" spans="1:7" s="2" customFormat="1" ht="12" customHeight="1">
      <c r="A30" s="608" t="s">
        <v>518</v>
      </c>
      <c r="B30" s="39" t="s">
        <v>167</v>
      </c>
      <c r="C30" s="67">
        <f>'3.PH '!C29</f>
        <v>0</v>
      </c>
      <c r="D30" s="67">
        <f>'3.PH '!D29</f>
        <v>10000</v>
      </c>
      <c r="E30" s="67">
        <f>'3.PH '!E29</f>
        <v>10000</v>
      </c>
      <c r="F30" s="67">
        <f>'3.PH '!F29</f>
        <v>0</v>
      </c>
      <c r="G30" s="68">
        <f>'3.PH '!G29</f>
        <v>10000</v>
      </c>
    </row>
    <row r="31" spans="1:7" s="2" customFormat="1" ht="12" customHeight="1">
      <c r="A31" s="608" t="s">
        <v>519</v>
      </c>
      <c r="B31" s="39" t="s">
        <v>341</v>
      </c>
      <c r="C31" s="67">
        <f>'3.PH '!C30</f>
        <v>30452</v>
      </c>
      <c r="D31" s="67">
        <f>'3.PH '!D30</f>
        <v>0</v>
      </c>
      <c r="E31" s="67">
        <f>'3.PH '!E30</f>
        <v>0</v>
      </c>
      <c r="F31" s="67">
        <f>'3.PH '!F30</f>
        <v>10482</v>
      </c>
      <c r="G31" s="68">
        <f>'3.PH '!G30</f>
        <v>0</v>
      </c>
    </row>
    <row r="32" spans="1:7" s="2" customFormat="1" ht="22.5" customHeight="1">
      <c r="A32" s="607" t="s">
        <v>520</v>
      </c>
      <c r="B32" s="38" t="s">
        <v>168</v>
      </c>
      <c r="C32" s="67">
        <f>'3.PH '!C31</f>
        <v>1101</v>
      </c>
      <c r="D32" s="67">
        <f>'3.PH '!D31</f>
        <v>0</v>
      </c>
      <c r="E32" s="67">
        <f>'3.PH '!E31</f>
        <v>0</v>
      </c>
      <c r="F32" s="67">
        <f>'3.PH '!F31</f>
        <v>314</v>
      </c>
      <c r="G32" s="68">
        <f>'3.PH '!G31</f>
        <v>2000</v>
      </c>
    </row>
    <row r="33" spans="1:7" s="2" customFormat="1" ht="12" customHeight="1">
      <c r="A33" s="607" t="s">
        <v>548</v>
      </c>
      <c r="B33" s="39" t="s">
        <v>170</v>
      </c>
      <c r="C33" s="67">
        <f>'3.PH '!C32</f>
        <v>0</v>
      </c>
      <c r="D33" s="67">
        <f>'3.PH '!D32</f>
        <v>0</v>
      </c>
      <c r="E33" s="67">
        <f>'3.PH '!E32</f>
        <v>0</v>
      </c>
      <c r="F33" s="67">
        <f>'3.PH '!F32</f>
        <v>0</v>
      </c>
      <c r="G33" s="68">
        <f>'3.PH '!G32</f>
        <v>0</v>
      </c>
    </row>
    <row r="34" spans="1:7" s="2" customFormat="1" ht="12" customHeight="1" thickBot="1">
      <c r="A34" s="24"/>
      <c r="B34" s="39"/>
      <c r="C34" s="67"/>
      <c r="D34" s="67"/>
      <c r="E34" s="67"/>
      <c r="F34" s="67"/>
      <c r="G34" s="68"/>
    </row>
    <row r="35" spans="1:7" s="2" customFormat="1" ht="24" customHeight="1" thickBot="1">
      <c r="A35" s="32" t="s">
        <v>9</v>
      </c>
      <c r="B35" s="33" t="s">
        <v>169</v>
      </c>
      <c r="C35" s="514">
        <f>C36</f>
        <v>9665</v>
      </c>
      <c r="D35" s="514">
        <f>D36</f>
        <v>0</v>
      </c>
      <c r="E35" s="514">
        <f>E36</f>
        <v>0</v>
      </c>
      <c r="F35" s="514">
        <f>F36</f>
        <v>6177</v>
      </c>
      <c r="G35" s="509">
        <f>G36</f>
        <v>0</v>
      </c>
    </row>
    <row r="36" spans="1:7" s="2" customFormat="1" ht="12" customHeight="1" thickBot="1">
      <c r="A36" s="25" t="s">
        <v>113</v>
      </c>
      <c r="B36" s="16" t="s">
        <v>170</v>
      </c>
      <c r="C36" s="17">
        <f>'3.PH '!C34</f>
        <v>9665</v>
      </c>
      <c r="D36" s="17">
        <f>'3.PH '!D34</f>
        <v>0</v>
      </c>
      <c r="E36" s="17">
        <f>'3.PH '!E34</f>
        <v>0</v>
      </c>
      <c r="F36" s="17">
        <f>'3.PH '!F34</f>
        <v>6177</v>
      </c>
      <c r="G36" s="31">
        <f>'3.PH '!G34</f>
        <v>0</v>
      </c>
    </row>
    <row r="37" spans="1:7" s="2" customFormat="1" ht="26.25" customHeight="1" thickBot="1">
      <c r="A37" s="32" t="s">
        <v>10</v>
      </c>
      <c r="B37" s="33" t="s">
        <v>369</v>
      </c>
      <c r="C37" s="65">
        <f>SUM(C38:C40)</f>
        <v>284538</v>
      </c>
      <c r="D37" s="65">
        <f>SUM(D38:D40)</f>
        <v>403290</v>
      </c>
      <c r="E37" s="66">
        <f>SUM(E38:E40)</f>
        <v>403290</v>
      </c>
      <c r="F37" s="65">
        <f>SUM(F38:F40)</f>
        <v>1378981</v>
      </c>
      <c r="G37" s="66">
        <f>SUM(G38:G40)</f>
        <v>318380</v>
      </c>
    </row>
    <row r="38" spans="1:7" s="2" customFormat="1" ht="12" customHeight="1">
      <c r="A38" s="23" t="s">
        <v>108</v>
      </c>
      <c r="B38" s="12" t="s">
        <v>218</v>
      </c>
      <c r="C38" s="513">
        <f>'3.PH '!C36</f>
        <v>284538</v>
      </c>
      <c r="D38" s="513">
        <f>'3.PH '!D36</f>
        <v>386790</v>
      </c>
      <c r="E38" s="513">
        <f>'3.PH '!E36</f>
        <v>386790</v>
      </c>
      <c r="F38" s="513">
        <f>'3.PH '!F36</f>
        <v>379695</v>
      </c>
      <c r="G38" s="518">
        <f>'3.PH '!G36</f>
        <v>0</v>
      </c>
    </row>
    <row r="39" spans="1:7" s="2" customFormat="1" ht="12" customHeight="1">
      <c r="A39" s="23"/>
      <c r="B39" s="12" t="s">
        <v>214</v>
      </c>
      <c r="C39" s="513">
        <f>'3.PH '!C37</f>
        <v>0</v>
      </c>
      <c r="D39" s="513">
        <f>'3.PH '!D37</f>
        <v>16500</v>
      </c>
      <c r="E39" s="513">
        <f>'3.PH '!E37</f>
        <v>16500</v>
      </c>
      <c r="F39" s="513">
        <f>'3.PH '!F37</f>
        <v>16500</v>
      </c>
      <c r="G39" s="518">
        <f>'3.PH '!G37</f>
        <v>0</v>
      </c>
    </row>
    <row r="40" spans="1:7" s="2" customFormat="1" ht="12" customHeight="1" thickBot="1">
      <c r="A40" s="21" t="s">
        <v>109</v>
      </c>
      <c r="B40" s="9" t="s">
        <v>171</v>
      </c>
      <c r="C40" s="513">
        <f>'3.PH '!C38</f>
        <v>0</v>
      </c>
      <c r="D40" s="513">
        <f>'3.PH '!D38</f>
        <v>0</v>
      </c>
      <c r="E40" s="513">
        <f>'3.PH '!E38</f>
        <v>0</v>
      </c>
      <c r="F40" s="513">
        <f>'3.PH '!F38</f>
        <v>982786</v>
      </c>
      <c r="G40" s="518">
        <f>'3.PH '!G38</f>
        <v>318380</v>
      </c>
    </row>
    <row r="41" spans="1:7" s="2" customFormat="1" ht="21.75" customHeight="1" thickBot="1">
      <c r="A41" s="32" t="s">
        <v>11</v>
      </c>
      <c r="B41" s="37" t="s">
        <v>370</v>
      </c>
      <c r="C41" s="69">
        <f>C5+C14+C21+C25+C35+C37</f>
        <v>1418007</v>
      </c>
      <c r="D41" s="69">
        <f>D5+D14+D21+D25+D35+D37</f>
        <v>1460786</v>
      </c>
      <c r="E41" s="69">
        <f>E5+E14+E21+E25+E35+E37</f>
        <v>1497416</v>
      </c>
      <c r="F41" s="69">
        <f>F5+F14+F21+F25+F35+F37</f>
        <v>2203047</v>
      </c>
      <c r="G41" s="70">
        <f>G5+G14+G21+G25+G35+G37</f>
        <v>1291275</v>
      </c>
    </row>
    <row r="42" spans="1:7" s="2" customFormat="1" ht="12" customHeight="1" thickBot="1">
      <c r="A42" s="713" t="s">
        <v>12</v>
      </c>
      <c r="B42" s="714" t="s">
        <v>307</v>
      </c>
      <c r="C42" s="715">
        <f>'3.PH '!C40+'4.iskola'!C15</f>
        <v>6042</v>
      </c>
      <c r="D42" s="715">
        <f>'3.PH '!D40+'4.iskola'!D15</f>
        <v>0</v>
      </c>
      <c r="E42" s="715">
        <f>'3.PH '!E40+'4.iskola'!E15</f>
        <v>0</v>
      </c>
      <c r="F42" s="715">
        <f>'3.PH '!F40+'4.iskola'!F15</f>
        <v>619</v>
      </c>
      <c r="G42" s="716">
        <f>'3.PH '!G40</f>
        <v>0</v>
      </c>
    </row>
    <row r="43" spans="1:7" s="2" customFormat="1" ht="12" customHeight="1" thickBot="1">
      <c r="A43" s="717" t="s">
        <v>13</v>
      </c>
      <c r="B43" s="718" t="s">
        <v>83</v>
      </c>
      <c r="C43" s="514">
        <f>'3.PH '!C41</f>
        <v>30786</v>
      </c>
      <c r="D43" s="514">
        <f>'3.PH '!D41</f>
        <v>242292</v>
      </c>
      <c r="E43" s="514">
        <f>'3.PH '!E41</f>
        <v>242292</v>
      </c>
      <c r="F43" s="514">
        <f>'3.PH '!F41</f>
        <v>0</v>
      </c>
      <c r="G43" s="509">
        <f>'3.PH '!G41</f>
        <v>195465</v>
      </c>
    </row>
    <row r="44" spans="1:7" s="2" customFormat="1" ht="12" customHeight="1" thickBot="1">
      <c r="A44" s="717"/>
      <c r="B44" s="718" t="s">
        <v>346</v>
      </c>
      <c r="C44" s="719">
        <f>'3.PH '!C42</f>
        <v>-5875</v>
      </c>
      <c r="D44" s="719">
        <f>'3.PH '!D42</f>
        <v>0</v>
      </c>
      <c r="E44" s="719">
        <f>'3.PH '!E42</f>
        <v>0</v>
      </c>
      <c r="F44" s="719">
        <f>'3.PH '!F42</f>
        <v>56642</v>
      </c>
      <c r="G44" s="720">
        <f>'3.PH '!G42</f>
        <v>0</v>
      </c>
    </row>
    <row r="45" spans="1:7" s="2" customFormat="1" ht="15" customHeight="1" thickBot="1">
      <c r="A45" s="32" t="s">
        <v>14</v>
      </c>
      <c r="B45" s="50" t="s">
        <v>228</v>
      </c>
      <c r="C45" s="65">
        <f>C41+C42+C43+C44</f>
        <v>1448960</v>
      </c>
      <c r="D45" s="65">
        <f>D41+D42+D43+D44</f>
        <v>1703078</v>
      </c>
      <c r="E45" s="65">
        <f>E41+E42+E43+E44</f>
        <v>1739708</v>
      </c>
      <c r="F45" s="65">
        <f>F41+F42+F43+F44</f>
        <v>2260308</v>
      </c>
      <c r="G45" s="66">
        <f>G41+G42+G43+G44</f>
        <v>1486740</v>
      </c>
    </row>
    <row r="46" spans="1:5" s="2" customFormat="1" ht="22.5" customHeight="1">
      <c r="A46" s="909"/>
      <c r="B46" s="909"/>
      <c r="C46" s="909"/>
      <c r="D46" s="909"/>
      <c r="E46" s="909"/>
    </row>
    <row r="47" spans="1:5" s="2" customFormat="1" ht="12.75" customHeight="1">
      <c r="A47" s="5"/>
      <c r="B47" s="6"/>
      <c r="C47" s="1"/>
      <c r="D47" s="1"/>
      <c r="E47" s="1"/>
    </row>
    <row r="48" spans="1:5" ht="16.5" customHeight="1">
      <c r="A48" s="908" t="s">
        <v>29</v>
      </c>
      <c r="B48" s="908"/>
      <c r="C48" s="908"/>
      <c r="D48" s="908"/>
      <c r="E48" s="908"/>
    </row>
    <row r="49" spans="1:5" ht="16.5" customHeight="1" thickBot="1">
      <c r="A49" s="7"/>
      <c r="B49" s="7"/>
      <c r="C49" s="7"/>
      <c r="D49" s="907" t="s">
        <v>37</v>
      </c>
      <c r="E49" s="907"/>
    </row>
    <row r="50" spans="1:7" ht="37.5" customHeight="1" thickBot="1">
      <c r="A50" s="42" t="s">
        <v>1</v>
      </c>
      <c r="B50" s="43" t="s">
        <v>30</v>
      </c>
      <c r="C50" s="43" t="s">
        <v>151</v>
      </c>
      <c r="D50" s="43" t="s">
        <v>136</v>
      </c>
      <c r="E50" s="62" t="s">
        <v>152</v>
      </c>
      <c r="F50" s="455" t="s">
        <v>329</v>
      </c>
      <c r="G50" s="587" t="s">
        <v>153</v>
      </c>
    </row>
    <row r="51" spans="1:7" s="63" customFormat="1" ht="12" customHeight="1" thickBot="1">
      <c r="A51" s="52">
        <v>1</v>
      </c>
      <c r="B51" s="53">
        <v>2</v>
      </c>
      <c r="C51" s="53">
        <v>3</v>
      </c>
      <c r="D51" s="53">
        <v>4</v>
      </c>
      <c r="E51" s="54">
        <v>5</v>
      </c>
      <c r="F51" s="53">
        <v>6</v>
      </c>
      <c r="G51" s="780">
        <v>7</v>
      </c>
    </row>
    <row r="52" spans="1:7" ht="12" customHeight="1" thickBot="1">
      <c r="A52" s="35" t="s">
        <v>3</v>
      </c>
      <c r="B52" s="49" t="s">
        <v>363</v>
      </c>
      <c r="C52" s="71">
        <f>SUM(C53:C74)-C61</f>
        <v>1036287</v>
      </c>
      <c r="D52" s="71">
        <f>SUM(D53:D74)-D61</f>
        <v>1075210</v>
      </c>
      <c r="E52" s="71">
        <f>SUM(E53:E74)-E61</f>
        <v>1106142</v>
      </c>
      <c r="F52" s="71">
        <f>SUM(F53:F74)-F61</f>
        <v>970268</v>
      </c>
      <c r="G52" s="74">
        <f>SUM(G53:G74)-G61</f>
        <v>1154066</v>
      </c>
    </row>
    <row r="53" spans="1:7" ht="12" customHeight="1">
      <c r="A53" s="25" t="s">
        <v>118</v>
      </c>
      <c r="B53" s="16" t="s">
        <v>31</v>
      </c>
      <c r="C53" s="519">
        <f>'3.PH '!C49+'4.iskola'!C27</f>
        <v>425949</v>
      </c>
      <c r="D53" s="519">
        <f>'3.PH '!D49+'4.iskola'!D27</f>
        <v>442793</v>
      </c>
      <c r="E53" s="519">
        <f>'3.PH '!E49+'4.iskola'!E27</f>
        <v>448044</v>
      </c>
      <c r="F53" s="519">
        <f>'3.PH '!F49+'4.iskola'!F27</f>
        <v>398695</v>
      </c>
      <c r="G53" s="528">
        <f>'3.PH '!G49+'4.iskola'!G27</f>
        <v>442266</v>
      </c>
    </row>
    <row r="54" spans="1:7" ht="12" customHeight="1">
      <c r="A54" s="23" t="s">
        <v>119</v>
      </c>
      <c r="B54" s="12" t="s">
        <v>172</v>
      </c>
      <c r="C54" s="523">
        <f>'3.PH '!C50+'4.iskola'!C28</f>
        <v>48393</v>
      </c>
      <c r="D54" s="523">
        <f>'3.PH '!D50+'4.iskola'!D28</f>
        <v>15630</v>
      </c>
      <c r="E54" s="523">
        <f>'3.PH '!E50+'4.iskola'!E28</f>
        <v>15630</v>
      </c>
      <c r="F54" s="523">
        <f>'3.PH '!F50+'4.iskola'!F28</f>
        <v>20981</v>
      </c>
      <c r="G54" s="521">
        <f>'3.PH '!G50+'4.iskola'!G28</f>
        <v>23980</v>
      </c>
    </row>
    <row r="55" spans="1:7" ht="12" customHeight="1">
      <c r="A55" s="21" t="s">
        <v>120</v>
      </c>
      <c r="B55" s="9" t="s">
        <v>32</v>
      </c>
      <c r="C55" s="523">
        <f>'3.PH '!C51+'4.iskola'!C29</f>
        <v>160470</v>
      </c>
      <c r="D55" s="523">
        <f>'3.PH '!D51+'4.iskola'!D29</f>
        <v>155685</v>
      </c>
      <c r="E55" s="523">
        <f>'3.PH '!E51+'4.iskola'!E29</f>
        <v>157612</v>
      </c>
      <c r="F55" s="523">
        <f>'3.PH '!F51+'4.iskola'!F29</f>
        <v>135467</v>
      </c>
      <c r="G55" s="521">
        <f>'3.PH '!G51+'4.iskola'!G29</f>
        <v>153933</v>
      </c>
    </row>
    <row r="56" spans="1:7" ht="12" customHeight="1">
      <c r="A56" s="21" t="s">
        <v>121</v>
      </c>
      <c r="B56" s="9" t="s">
        <v>173</v>
      </c>
      <c r="C56" s="523">
        <f>'3.PH '!C52+'4.iskola'!C30</f>
        <v>59354</v>
      </c>
      <c r="D56" s="523">
        <f>'3.PH '!D52+'4.iskola'!D30</f>
        <v>72001</v>
      </c>
      <c r="E56" s="523">
        <f>'3.PH '!E52+'4.iskola'!E30</f>
        <v>73797</v>
      </c>
      <c r="F56" s="523">
        <f>'3.PH '!F52+'4.iskola'!F30</f>
        <v>52870</v>
      </c>
      <c r="G56" s="521">
        <f>'3.PH '!G52+'4.iskola'!G30</f>
        <v>51960</v>
      </c>
    </row>
    <row r="57" spans="1:7" ht="12" customHeight="1">
      <c r="A57" s="21" t="s">
        <v>134</v>
      </c>
      <c r="B57" s="18" t="s">
        <v>174</v>
      </c>
      <c r="C57" s="523">
        <f>'3.PH '!C53+'4.iskola'!C31</f>
        <v>115585</v>
      </c>
      <c r="D57" s="523">
        <f>'3.PH '!D53+'4.iskola'!D31</f>
        <v>129481</v>
      </c>
      <c r="E57" s="523">
        <f>'3.PH '!E53+'4.iskola'!E31</f>
        <v>129481</v>
      </c>
      <c r="F57" s="523">
        <f>'3.PH '!F53+'4.iskola'!F31</f>
        <v>91588</v>
      </c>
      <c r="G57" s="521">
        <f>'3.PH '!G53+'4.iskola'!G31</f>
        <v>109662</v>
      </c>
    </row>
    <row r="58" spans="1:7" ht="12" customHeight="1">
      <c r="A58" s="21" t="s">
        <v>484</v>
      </c>
      <c r="B58" s="18" t="s">
        <v>175</v>
      </c>
      <c r="C58" s="523">
        <f>'3.PH '!C54+'4.iskola'!C32</f>
        <v>58290</v>
      </c>
      <c r="D58" s="523">
        <f>'3.PH '!D54+'4.iskola'!D32</f>
        <v>63412</v>
      </c>
      <c r="E58" s="523">
        <f>'3.PH '!E54+'4.iskola'!E32</f>
        <v>63501</v>
      </c>
      <c r="F58" s="523">
        <f>'3.PH '!F54+'4.iskola'!F32</f>
        <v>57151</v>
      </c>
      <c r="G58" s="521">
        <f>'3.PH '!G54+'4.iskola'!G32</f>
        <v>65419</v>
      </c>
    </row>
    <row r="59" spans="1:7" ht="12" customHeight="1">
      <c r="A59" s="21" t="s">
        <v>485</v>
      </c>
      <c r="B59" s="18" t="s">
        <v>91</v>
      </c>
      <c r="C59" s="523">
        <f>'3.PH '!C55+'4.iskola'!C33</f>
        <v>26870</v>
      </c>
      <c r="D59" s="523">
        <f>'3.PH '!D55+'4.iskola'!D33</f>
        <v>36582</v>
      </c>
      <c r="E59" s="523">
        <f>'3.PH '!E55+'4.iskola'!E33</f>
        <v>36582</v>
      </c>
      <c r="F59" s="523">
        <f>'3.PH '!F55+'4.iskola'!F33</f>
        <v>58838</v>
      </c>
      <c r="G59" s="521">
        <f>'3.PH '!G55+'4.iskola'!G33</f>
        <v>64900</v>
      </c>
    </row>
    <row r="60" spans="1:7" ht="12" customHeight="1">
      <c r="A60" s="21" t="s">
        <v>486</v>
      </c>
      <c r="B60" s="9" t="s">
        <v>568</v>
      </c>
      <c r="C60" s="523">
        <f>'3.PH '!C56+'4.iskola'!C34</f>
        <v>79079</v>
      </c>
      <c r="D60" s="523">
        <f>'3.PH '!D56+'4.iskola'!D34</f>
        <v>66002</v>
      </c>
      <c r="E60" s="523">
        <f>'3.PH '!E56+'4.iskola'!E34</f>
        <v>82166</v>
      </c>
      <c r="F60" s="523">
        <f>'3.PH '!F56+'4.iskola'!F34</f>
        <v>61421</v>
      </c>
      <c r="G60" s="521">
        <f>'3.PH '!G56+'4.iskola'!G34</f>
        <v>57260</v>
      </c>
    </row>
    <row r="61" spans="1:7" ht="12" customHeight="1">
      <c r="A61" s="21" t="s">
        <v>487</v>
      </c>
      <c r="B61" s="40" t="s">
        <v>182</v>
      </c>
      <c r="C61" s="523">
        <f>'3.PH '!C57</f>
        <v>293224</v>
      </c>
      <c r="D61" s="523">
        <f>'3.PH '!D57</f>
        <v>315647</v>
      </c>
      <c r="E61" s="523">
        <f>'3.PH '!E57</f>
        <v>321345</v>
      </c>
      <c r="F61" s="523">
        <f>'3.PH '!F57</f>
        <v>257955</v>
      </c>
      <c r="G61" s="521">
        <f>'3.PH '!G57</f>
        <v>303535</v>
      </c>
    </row>
    <row r="62" spans="1:7" ht="12" customHeight="1">
      <c r="A62" s="21" t="s">
        <v>488</v>
      </c>
      <c r="B62" s="40" t="s">
        <v>183</v>
      </c>
      <c r="C62" s="523">
        <f>'3.PH '!C58</f>
        <v>8626</v>
      </c>
      <c r="D62" s="523">
        <f>'3.PH '!D58</f>
        <v>0</v>
      </c>
      <c r="E62" s="523">
        <f>'3.PH '!E58</f>
        <v>0</v>
      </c>
      <c r="F62" s="523">
        <f>'3.PH '!F58</f>
        <v>7074</v>
      </c>
      <c r="G62" s="521">
        <f>'3.PH '!G58</f>
        <v>0</v>
      </c>
    </row>
    <row r="63" spans="1:7" ht="12" customHeight="1">
      <c r="A63" s="21" t="s">
        <v>489</v>
      </c>
      <c r="B63" s="40" t="s">
        <v>184</v>
      </c>
      <c r="C63" s="523">
        <f>'3.PH '!C59</f>
        <v>18456</v>
      </c>
      <c r="D63" s="523">
        <f>'3.PH '!D59</f>
        <v>16800</v>
      </c>
      <c r="E63" s="523">
        <f>'3.PH '!E59</f>
        <v>16800</v>
      </c>
      <c r="F63" s="523">
        <f>'3.PH '!F59</f>
        <v>14256</v>
      </c>
      <c r="G63" s="521">
        <f>'3.PH '!G59</f>
        <v>24488</v>
      </c>
    </row>
    <row r="64" spans="1:7" ht="12" customHeight="1">
      <c r="A64" s="21" t="s">
        <v>490</v>
      </c>
      <c r="B64" s="201" t="s">
        <v>185</v>
      </c>
      <c r="C64" s="523">
        <f>'3.PH '!C60</f>
        <v>0</v>
      </c>
      <c r="D64" s="523">
        <f>'3.PH '!D60</f>
        <v>0</v>
      </c>
      <c r="E64" s="523">
        <f>'3.PH '!E60</f>
        <v>0</v>
      </c>
      <c r="F64" s="523">
        <f>'3.PH '!F60</f>
        <v>0</v>
      </c>
      <c r="G64" s="521">
        <f>'3.PH '!G60</f>
        <v>0</v>
      </c>
    </row>
    <row r="65" spans="1:7" ht="12" customHeight="1">
      <c r="A65" s="21" t="s">
        <v>491</v>
      </c>
      <c r="B65" s="40" t="s">
        <v>549</v>
      </c>
      <c r="C65" s="523">
        <f>'3.PH '!C61</f>
        <v>13311</v>
      </c>
      <c r="D65" s="523">
        <f>'3.PH '!D61</f>
        <v>11000</v>
      </c>
      <c r="E65" s="523">
        <f>'3.PH '!E61</f>
        <v>11000</v>
      </c>
      <c r="F65" s="523">
        <f>'3.PH '!F61</f>
        <v>10353</v>
      </c>
      <c r="G65" s="521">
        <f>'3.PH '!G61</f>
        <v>11000</v>
      </c>
    </row>
    <row r="66" spans="1:7" ht="12" customHeight="1">
      <c r="A66" s="21" t="s">
        <v>492</v>
      </c>
      <c r="B66" s="40" t="s">
        <v>187</v>
      </c>
      <c r="C66" s="523">
        <f>'3.PH '!C62</f>
        <v>16653</v>
      </c>
      <c r="D66" s="523">
        <f>'3.PH '!D62</f>
        <v>18350</v>
      </c>
      <c r="E66" s="523">
        <f>'3.PH '!E62</f>
        <v>20913</v>
      </c>
      <c r="F66" s="523">
        <f>'3.PH '!F62</f>
        <v>15974</v>
      </c>
      <c r="G66" s="521">
        <f>'3.PH '!G62</f>
        <v>23000</v>
      </c>
    </row>
    <row r="67" spans="1:7" ht="12" customHeight="1">
      <c r="A67" s="21" t="s">
        <v>493</v>
      </c>
      <c r="B67" s="40" t="s">
        <v>354</v>
      </c>
      <c r="C67" s="523">
        <f>'3.PH '!C63</f>
        <v>0</v>
      </c>
      <c r="D67" s="523">
        <f>'3.PH '!D63</f>
        <v>0</v>
      </c>
      <c r="E67" s="523">
        <f>'3.PH '!E63</f>
        <v>0</v>
      </c>
      <c r="F67" s="523">
        <f>'3.PH '!F63</f>
        <v>0</v>
      </c>
      <c r="G67" s="521">
        <f>'3.PH '!G63</f>
        <v>75748</v>
      </c>
    </row>
    <row r="68" spans="1:7" ht="12" customHeight="1">
      <c r="A68" s="21" t="s">
        <v>494</v>
      </c>
      <c r="B68" s="40" t="s">
        <v>188</v>
      </c>
      <c r="C68" s="523">
        <f>'3.PH '!C64</f>
        <v>908</v>
      </c>
      <c r="D68" s="523">
        <f>'3.PH '!D64</f>
        <v>1100</v>
      </c>
      <c r="E68" s="523">
        <f>'3.PH '!E64</f>
        <v>1100</v>
      </c>
      <c r="F68" s="523">
        <f>'3.PH '!F64</f>
        <v>691</v>
      </c>
      <c r="G68" s="521">
        <f>'3.PH '!G64</f>
        <v>0</v>
      </c>
    </row>
    <row r="69" spans="1:7" ht="12" customHeight="1">
      <c r="A69" s="21" t="s">
        <v>495</v>
      </c>
      <c r="B69" s="40" t="s">
        <v>535</v>
      </c>
      <c r="C69" s="523">
        <f>'3.PH '!C65</f>
        <v>0</v>
      </c>
      <c r="D69" s="523">
        <f>'3.PH '!D65</f>
        <v>7000</v>
      </c>
      <c r="E69" s="523">
        <f>'3.PH '!E65</f>
        <v>7000</v>
      </c>
      <c r="F69" s="523">
        <f>'3.PH '!F65</f>
        <v>11994</v>
      </c>
      <c r="G69" s="521">
        <f>'3.PH '!G65</f>
        <v>11030</v>
      </c>
    </row>
    <row r="70" spans="1:7" ht="12" customHeight="1">
      <c r="A70" s="21" t="s">
        <v>496</v>
      </c>
      <c r="B70" s="9" t="s">
        <v>190</v>
      </c>
      <c r="C70" s="523">
        <f>'3.PH '!C66</f>
        <v>0</v>
      </c>
      <c r="D70" s="523">
        <f>'3.PH '!D66</f>
        <v>1333</v>
      </c>
      <c r="E70" s="523">
        <f>'3.PH '!E66</f>
        <v>1333</v>
      </c>
      <c r="F70" s="523">
        <f>'3.PH '!F66</f>
        <v>1333</v>
      </c>
      <c r="G70" s="521">
        <f>'3.PH '!G66</f>
        <v>1400</v>
      </c>
    </row>
    <row r="71" spans="1:7" ht="12" customHeight="1">
      <c r="A71" s="21" t="s">
        <v>497</v>
      </c>
      <c r="B71" s="9" t="s">
        <v>191</v>
      </c>
      <c r="C71" s="523">
        <f>'3.PH '!C67</f>
        <v>0</v>
      </c>
      <c r="D71" s="523">
        <f>'3.PH '!D67</f>
        <v>451</v>
      </c>
      <c r="E71" s="523">
        <f>'3.PH '!E67</f>
        <v>451</v>
      </c>
      <c r="F71" s="523">
        <f>'3.PH '!F67</f>
        <v>451</v>
      </c>
      <c r="G71" s="521">
        <f>'3.PH '!G67</f>
        <v>500</v>
      </c>
    </row>
    <row r="72" spans="1:7" ht="12" customHeight="1">
      <c r="A72" s="20" t="s">
        <v>498</v>
      </c>
      <c r="B72" s="19" t="s">
        <v>192</v>
      </c>
      <c r="C72" s="523">
        <f>'3.PH '!C68</f>
        <v>0</v>
      </c>
      <c r="D72" s="523">
        <f>'3.PH '!D68</f>
        <v>150</v>
      </c>
      <c r="E72" s="523">
        <f>'3.PH '!E68</f>
        <v>150</v>
      </c>
      <c r="F72" s="523">
        <f>'3.PH '!F68</f>
        <v>0</v>
      </c>
      <c r="G72" s="521">
        <f>'3.PH '!G68</f>
        <v>0</v>
      </c>
    </row>
    <row r="73" spans="1:7" ht="12" customHeight="1">
      <c r="A73" s="21" t="s">
        <v>499</v>
      </c>
      <c r="B73" s="9" t="s">
        <v>193</v>
      </c>
      <c r="C73" s="523">
        <f>'3.PH '!C69</f>
        <v>0</v>
      </c>
      <c r="D73" s="523">
        <f>'3.PH '!D69</f>
        <v>35640</v>
      </c>
      <c r="E73" s="523">
        <f>'3.PH '!E69</f>
        <v>35640</v>
      </c>
      <c r="F73" s="523">
        <f>'3.PH '!F69</f>
        <v>26789</v>
      </c>
      <c r="G73" s="521">
        <f>'3.PH '!G69</f>
        <v>35720</v>
      </c>
    </row>
    <row r="74" spans="1:7" ht="12" customHeight="1" thickBot="1">
      <c r="A74" s="20" t="s">
        <v>500</v>
      </c>
      <c r="B74" s="8" t="s">
        <v>194</v>
      </c>
      <c r="C74" s="520">
        <f>'3.PH '!C70</f>
        <v>4343</v>
      </c>
      <c r="D74" s="520">
        <f>'3.PH '!D70</f>
        <v>1800</v>
      </c>
      <c r="E74" s="520">
        <f>'3.PH '!E70</f>
        <v>4942</v>
      </c>
      <c r="F74" s="520">
        <f>'3.PH '!F70</f>
        <v>4342</v>
      </c>
      <c r="G74" s="524">
        <f>'3.PH '!G70</f>
        <v>1800</v>
      </c>
    </row>
    <row r="75" spans="1:7" ht="12" customHeight="1" thickBot="1">
      <c r="A75" s="32" t="s">
        <v>4</v>
      </c>
      <c r="B75" s="47" t="s">
        <v>364</v>
      </c>
      <c r="C75" s="73">
        <f>SUM(C76:C79)</f>
        <v>368339</v>
      </c>
      <c r="D75" s="73">
        <f>SUM(D76:D79)</f>
        <v>433302</v>
      </c>
      <c r="E75" s="73">
        <f>SUM(E76:E79)</f>
        <v>433302</v>
      </c>
      <c r="F75" s="73">
        <f>SUM(F76:F79)</f>
        <v>389583</v>
      </c>
      <c r="G75" s="74">
        <f>SUM(G76:G79)</f>
        <v>323674</v>
      </c>
    </row>
    <row r="76" spans="1:7" ht="12" customHeight="1">
      <c r="A76" s="23" t="s">
        <v>122</v>
      </c>
      <c r="B76" s="12" t="s">
        <v>84</v>
      </c>
      <c r="C76" s="520">
        <f>'3.PH '!C72</f>
        <v>12315</v>
      </c>
      <c r="D76" s="520">
        <f>'3.PH '!D72</f>
        <v>13250</v>
      </c>
      <c r="E76" s="520">
        <f>'3.PH '!E72</f>
        <v>13250</v>
      </c>
      <c r="F76" s="520">
        <f>'3.PH '!F72</f>
        <v>1828</v>
      </c>
      <c r="G76" s="522">
        <f>'3.PH '!G72</f>
        <v>1958</v>
      </c>
    </row>
    <row r="77" spans="1:7" ht="12" customHeight="1">
      <c r="A77" s="23" t="s">
        <v>123</v>
      </c>
      <c r="B77" s="9" t="s">
        <v>179</v>
      </c>
      <c r="C77" s="520">
        <f>'3.PH '!C73+'4.iskola'!C35</f>
        <v>294492</v>
      </c>
      <c r="D77" s="520">
        <f>'3.PH '!D73+'4.iskola'!D35</f>
        <v>346244</v>
      </c>
      <c r="E77" s="520">
        <f>'3.PH '!E73+'4.iskola'!E35</f>
        <v>346244</v>
      </c>
      <c r="F77" s="520">
        <f>'3.PH '!F73+'4.iskola'!F35</f>
        <v>323148</v>
      </c>
      <c r="G77" s="522">
        <f>'3.PH '!G73+'4.iskola'!G35</f>
        <v>273107</v>
      </c>
    </row>
    <row r="78" spans="1:7" ht="12" customHeight="1">
      <c r="A78" s="23" t="s">
        <v>124</v>
      </c>
      <c r="B78" s="9" t="s">
        <v>180</v>
      </c>
      <c r="C78" s="520">
        <f>'3.PH '!C74</f>
        <v>3209</v>
      </c>
      <c r="D78" s="520">
        <f>'3.PH '!D74</f>
        <v>2450</v>
      </c>
      <c r="E78" s="520">
        <f>'3.PH '!E74</f>
        <v>2450</v>
      </c>
      <c r="F78" s="520">
        <f>'3.PH '!F74</f>
        <v>366</v>
      </c>
      <c r="G78" s="521">
        <f>'3.PH '!G74</f>
        <v>392</v>
      </c>
    </row>
    <row r="79" spans="1:7" ht="19.5" customHeight="1" thickBot="1">
      <c r="A79" s="23" t="s">
        <v>125</v>
      </c>
      <c r="B79" s="9" t="s">
        <v>181</v>
      </c>
      <c r="C79" s="520">
        <f>'3.PH '!C75+'4.iskola'!C36</f>
        <v>58323</v>
      </c>
      <c r="D79" s="520">
        <f>'3.PH '!D75+'4.iskola'!D36</f>
        <v>71358</v>
      </c>
      <c r="E79" s="520">
        <f>'3.PH '!E75+'4.iskola'!E36</f>
        <v>71358</v>
      </c>
      <c r="F79" s="520">
        <f>'3.PH '!F75+'4.iskola'!F36</f>
        <v>64241</v>
      </c>
      <c r="G79" s="522">
        <f>'3.PH '!G75+'4.iskola'!G36</f>
        <v>48217</v>
      </c>
    </row>
    <row r="80" spans="1:7" ht="12" customHeight="1" thickBot="1">
      <c r="A80" s="32" t="s">
        <v>5</v>
      </c>
      <c r="B80" s="47" t="s">
        <v>371</v>
      </c>
      <c r="C80" s="73">
        <f>SUM(C81:C82)</f>
        <v>0</v>
      </c>
      <c r="D80" s="73">
        <f>SUM(D81:D82)</f>
        <v>9000</v>
      </c>
      <c r="E80" s="73">
        <f>SUM(E81:E82)</f>
        <v>9000</v>
      </c>
      <c r="F80" s="73">
        <f>SUM(F81:F82)</f>
        <v>0</v>
      </c>
      <c r="G80" s="74">
        <f>SUM(G81:G82)</f>
        <v>9000</v>
      </c>
    </row>
    <row r="81" spans="1:7" ht="12" customHeight="1">
      <c r="A81" s="23" t="s">
        <v>96</v>
      </c>
      <c r="B81" s="12" t="s">
        <v>42</v>
      </c>
      <c r="C81" s="520">
        <f>'3.PH '!C77</f>
        <v>0</v>
      </c>
      <c r="D81" s="520">
        <f>'3.PH '!D77</f>
        <v>9000</v>
      </c>
      <c r="E81" s="520">
        <f>'3.PH '!E77</f>
        <v>9000</v>
      </c>
      <c r="F81" s="520">
        <f>'3.PH '!F77</f>
        <v>0</v>
      </c>
      <c r="G81" s="522">
        <f>'3.PH '!G77</f>
        <v>9000</v>
      </c>
    </row>
    <row r="82" spans="1:7" ht="12" customHeight="1" thickBot="1">
      <c r="A82" s="21" t="s">
        <v>97</v>
      </c>
      <c r="B82" s="9" t="s">
        <v>43</v>
      </c>
      <c r="C82" s="520">
        <f>'3.PH '!C78</f>
        <v>0</v>
      </c>
      <c r="D82" s="520">
        <f>'3.PH '!D78</f>
        <v>0</v>
      </c>
      <c r="E82" s="520">
        <f>'3.PH '!E78</f>
        <v>0</v>
      </c>
      <c r="F82" s="520">
        <f>'3.PH '!F78</f>
        <v>0</v>
      </c>
      <c r="G82" s="524">
        <f>'3.PH '!G78</f>
        <v>0</v>
      </c>
    </row>
    <row r="83" spans="1:8" ht="12" customHeight="1" thickBot="1">
      <c r="A83" s="32" t="s">
        <v>6</v>
      </c>
      <c r="B83" s="47" t="s">
        <v>307</v>
      </c>
      <c r="C83" s="73">
        <f>'3.PH '!C79</f>
        <v>4494</v>
      </c>
      <c r="D83" s="73">
        <f>'3.PH '!D79</f>
        <v>0</v>
      </c>
      <c r="E83" s="73">
        <f>'3.PH '!E79</f>
        <v>0</v>
      </c>
      <c r="F83" s="73">
        <f>'3.PH '!F79</f>
        <v>0</v>
      </c>
      <c r="G83" s="74">
        <f>'3.PH '!G79</f>
        <v>0</v>
      </c>
      <c r="H83" s="200"/>
    </row>
    <row r="84" spans="1:7" ht="12" customHeight="1" thickBot="1">
      <c r="A84" s="32" t="s">
        <v>7</v>
      </c>
      <c r="B84" s="47" t="s">
        <v>178</v>
      </c>
      <c r="C84" s="73">
        <f>'3.PH '!C80+'4.iskola'!C37</f>
        <v>-15233</v>
      </c>
      <c r="D84" s="73">
        <f>'3.PH '!D80+'4.iskola'!D37</f>
        <v>0</v>
      </c>
      <c r="E84" s="73">
        <f>'3.PH '!E80+'4.iskola'!E37</f>
        <v>0</v>
      </c>
      <c r="F84" s="73">
        <f>'3.PH '!F80+'4.iskola'!F37</f>
        <v>-6963</v>
      </c>
      <c r="G84" s="74">
        <f>'3.PH '!G80+'4.iskola'!G37</f>
        <v>0</v>
      </c>
    </row>
    <row r="85" spans="1:7" ht="12" customHeight="1" thickBot="1">
      <c r="A85" s="32" t="s">
        <v>8</v>
      </c>
      <c r="B85" s="47" t="s">
        <v>372</v>
      </c>
      <c r="C85" s="73">
        <f>SUM(C86:C87)</f>
        <v>54453</v>
      </c>
      <c r="D85" s="73">
        <f>SUM(D86:D87)</f>
        <v>185566</v>
      </c>
      <c r="E85" s="73">
        <f>SUM(E86:E87)</f>
        <v>185566</v>
      </c>
      <c r="F85" s="73">
        <f>SUM(F86:F87)</f>
        <v>902447</v>
      </c>
      <c r="G85" s="721">
        <v>0</v>
      </c>
    </row>
    <row r="86" spans="1:7" ht="12" customHeight="1">
      <c r="A86" s="23" t="s">
        <v>106</v>
      </c>
      <c r="B86" s="12" t="s">
        <v>177</v>
      </c>
      <c r="C86" s="520">
        <f>'3.PH '!C82</f>
        <v>0</v>
      </c>
      <c r="D86" s="520">
        <f>'3.PH '!D82</f>
        <v>106018</v>
      </c>
      <c r="E86" s="520">
        <f>'3.PH '!E82</f>
        <v>106018</v>
      </c>
      <c r="F86" s="520">
        <f>'3.PH '!F82</f>
        <v>122518</v>
      </c>
      <c r="G86" s="522">
        <f>'3.PH '!G82</f>
        <v>0</v>
      </c>
    </row>
    <row r="87" spans="1:7" ht="12" customHeight="1" thickBot="1">
      <c r="A87" s="24" t="s">
        <v>107</v>
      </c>
      <c r="B87" s="19" t="s">
        <v>176</v>
      </c>
      <c r="C87" s="520">
        <f>'3.PH '!C83</f>
        <v>54453</v>
      </c>
      <c r="D87" s="520">
        <f>'3.PH '!D83</f>
        <v>79548</v>
      </c>
      <c r="E87" s="520">
        <f>'3.PH '!E83</f>
        <v>79548</v>
      </c>
      <c r="F87" s="525">
        <f>'3.PH '!F83</f>
        <v>779929</v>
      </c>
      <c r="G87" s="524">
        <f>'3.PH '!G83</f>
        <v>0</v>
      </c>
    </row>
    <row r="88" spans="1:7" ht="15" customHeight="1" thickBot="1">
      <c r="A88" s="32" t="s">
        <v>9</v>
      </c>
      <c r="B88" s="51" t="s">
        <v>243</v>
      </c>
      <c r="C88" s="73">
        <f>C52+C75+C80+C83+C84+C85</f>
        <v>1448340</v>
      </c>
      <c r="D88" s="73">
        <f>D52+D75+D80+D83+D84+D85</f>
        <v>1703078</v>
      </c>
      <c r="E88" s="73">
        <f>E52+E75+E80+E83+E84+E85+5698</f>
        <v>1739708</v>
      </c>
      <c r="F88" s="73">
        <f>F52+F75+F80+F83+F84+F85</f>
        <v>2255335</v>
      </c>
      <c r="G88" s="74">
        <f>G52+G75+G80+G83+G84+G85</f>
        <v>1486740</v>
      </c>
    </row>
    <row r="89" spans="6:8" ht="15.75">
      <c r="F89" s="184"/>
      <c r="G89" s="184"/>
      <c r="H89" s="185"/>
    </row>
    <row r="90" spans="6:8" ht="15.75">
      <c r="F90" s="184"/>
      <c r="G90" s="184"/>
      <c r="H90" s="185"/>
    </row>
    <row r="91" spans="6:8" ht="15.75">
      <c r="F91" s="186"/>
      <c r="G91" s="186"/>
      <c r="H91" s="185"/>
    </row>
    <row r="92" spans="6:8" ht="15.75">
      <c r="F92" s="186"/>
      <c r="G92" s="186"/>
      <c r="H92" s="185"/>
    </row>
    <row r="93" spans="6:8" ht="15.75">
      <c r="F93" s="187">
        <f>F94+F95</f>
        <v>0</v>
      </c>
      <c r="G93" s="187">
        <f>G94+G95</f>
        <v>0</v>
      </c>
      <c r="H93" s="185"/>
    </row>
    <row r="94" spans="6:8" ht="15.75">
      <c r="F94" s="188"/>
      <c r="G94" s="188"/>
      <c r="H94" s="185"/>
    </row>
    <row r="95" spans="6:8" ht="15.75">
      <c r="F95" s="188"/>
      <c r="G95" s="188"/>
      <c r="H95" s="185"/>
    </row>
    <row r="96" spans="6:8" ht="15.75">
      <c r="F96" s="189">
        <f>SUM(F97:F98)</f>
        <v>0</v>
      </c>
      <c r="G96" s="189">
        <f>SUM(G97:G98)</f>
        <v>0</v>
      </c>
      <c r="H96" s="185"/>
    </row>
    <row r="97" spans="6:8" ht="15.75">
      <c r="F97" s="188"/>
      <c r="G97" s="188"/>
      <c r="H97" s="185"/>
    </row>
    <row r="98" spans="6:8" ht="15.75">
      <c r="F98" s="188"/>
      <c r="G98" s="188"/>
      <c r="H98" s="185"/>
    </row>
    <row r="99" spans="6:8" ht="15.75">
      <c r="F99" s="190"/>
      <c r="G99" s="190"/>
      <c r="H99" s="185"/>
    </row>
    <row r="100" spans="6:8" ht="15.75">
      <c r="F100" s="191"/>
      <c r="G100" s="191"/>
      <c r="H100" s="185"/>
    </row>
    <row r="101" spans="6:8" ht="15.75">
      <c r="F101" s="184"/>
      <c r="G101" s="184"/>
      <c r="H101" s="185"/>
    </row>
    <row r="102" spans="6:8" ht="15.75">
      <c r="F102" s="184"/>
      <c r="G102" s="184"/>
      <c r="H102" s="185"/>
    </row>
    <row r="103" spans="6:8" ht="15.75">
      <c r="F103" s="188"/>
      <c r="G103" s="188"/>
      <c r="H103" s="185"/>
    </row>
    <row r="104" spans="6:8" ht="15.75">
      <c r="F104" s="192"/>
      <c r="G104" s="192"/>
      <c r="H104" s="185"/>
    </row>
    <row r="105" spans="6:8" ht="15.75">
      <c r="F105" s="189"/>
      <c r="G105" s="189"/>
      <c r="H105" s="185"/>
    </row>
    <row r="106" spans="6:8" ht="15.75">
      <c r="F106" s="185"/>
      <c r="G106" s="185"/>
      <c r="H106" s="185"/>
    </row>
    <row r="107" spans="6:8" ht="15.75">
      <c r="F107" s="185"/>
      <c r="G107" s="185"/>
      <c r="H107" s="185"/>
    </row>
    <row r="108" spans="6:8" ht="15.75">
      <c r="F108" s="185"/>
      <c r="G108" s="185"/>
      <c r="H108" s="185"/>
    </row>
    <row r="109" spans="6:8" ht="15.75">
      <c r="F109" s="185"/>
      <c r="G109" s="185"/>
      <c r="H109" s="185"/>
    </row>
    <row r="110" spans="6:8" ht="15.75">
      <c r="F110" s="185"/>
      <c r="G110" s="185"/>
      <c r="H110" s="185"/>
    </row>
    <row r="111" spans="6:8" ht="15.75">
      <c r="F111" s="185"/>
      <c r="G111" s="185"/>
      <c r="H111" s="185"/>
    </row>
  </sheetData>
  <sheetProtection sheet="1" objects="1" scenarios="1"/>
  <mergeCells count="4">
    <mergeCell ref="D2:E2"/>
    <mergeCell ref="D49:E49"/>
    <mergeCell ref="A48:E48"/>
    <mergeCell ref="A46:E4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Ócsa Város Önkormányzat
2008. ÉVI KÖLTSÉGVETÉSÉNEK PÉNZÜGYI MÉRLEGE&amp;10
&amp;R&amp;"Times New Roman CE,Félkövér dőlt"&amp;11 1. sz. melléklet</oddHeader>
  </headerFooter>
  <rowBreaks count="1" manualBreakCount="1">
    <brk id="47" max="255" man="1"/>
  </rowBreaks>
  <ignoredErrors>
    <ignoredError sqref="A80:A88 A34:A45 A57:A75 A5:A19 A21:A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3.50390625" style="78" customWidth="1"/>
    <col min="2" max="2" width="13.125" style="77" customWidth="1"/>
    <col min="3" max="3" width="12.50390625" style="77" customWidth="1"/>
    <col min="4" max="4" width="11.625" style="77" customWidth="1"/>
    <col min="5" max="5" width="17.00390625" style="97" customWidth="1"/>
    <col min="6" max="7" width="12.875" style="77" customWidth="1"/>
    <col min="8" max="8" width="13.875" style="77" customWidth="1"/>
    <col min="9" max="16384" width="9.375" style="77" customWidth="1"/>
  </cols>
  <sheetData>
    <row r="1" ht="18" customHeight="1" thickBot="1">
      <c r="E1" s="92" t="s">
        <v>47</v>
      </c>
    </row>
    <row r="2" spans="1:5" s="85" customFormat="1" ht="51.75" customHeight="1" thickBot="1">
      <c r="A2" s="83" t="s">
        <v>53</v>
      </c>
      <c r="B2" s="84" t="s">
        <v>54</v>
      </c>
      <c r="C2" s="84" t="s">
        <v>55</v>
      </c>
      <c r="D2" s="84" t="s">
        <v>195</v>
      </c>
      <c r="E2" s="93" t="s">
        <v>196</v>
      </c>
    </row>
    <row r="3" spans="1:5" s="97" customFormat="1" ht="12" customHeight="1" thickBot="1">
      <c r="A3" s="94">
        <v>1</v>
      </c>
      <c r="B3" s="95">
        <v>2</v>
      </c>
      <c r="C3" s="95">
        <v>3</v>
      </c>
      <c r="D3" s="95">
        <v>5</v>
      </c>
      <c r="E3" s="96" t="s">
        <v>87</v>
      </c>
    </row>
    <row r="4" spans="1:5" ht="15.75" customHeight="1" thickBot="1">
      <c r="A4" s="751" t="s">
        <v>312</v>
      </c>
      <c r="B4" s="752">
        <f>SUM(B5:B21)</f>
        <v>296494</v>
      </c>
      <c r="C4" s="752"/>
      <c r="D4" s="752">
        <f>SUM(D5:D22)-D7</f>
        <v>319024</v>
      </c>
      <c r="E4" s="753">
        <f>SUM(E5:E21)</f>
        <v>13543</v>
      </c>
    </row>
    <row r="5" spans="1:5" ht="15.75" customHeight="1">
      <c r="A5" s="747" t="s">
        <v>373</v>
      </c>
      <c r="B5" s="748"/>
      <c r="C5" s="749"/>
      <c r="D5" s="748"/>
      <c r="E5" s="750"/>
    </row>
    <row r="6" spans="1:5" ht="15.75" customHeight="1">
      <c r="A6" s="614" t="s">
        <v>321</v>
      </c>
      <c r="B6" s="45">
        <v>8498</v>
      </c>
      <c r="C6" s="637" t="s">
        <v>531</v>
      </c>
      <c r="D6" s="45">
        <v>1028</v>
      </c>
      <c r="E6" s="724">
        <v>2912</v>
      </c>
    </row>
    <row r="7" spans="1:5" ht="15.75" customHeight="1">
      <c r="A7" s="614" t="s">
        <v>344</v>
      </c>
      <c r="B7" s="45" t="s">
        <v>343</v>
      </c>
      <c r="C7" s="760" t="s">
        <v>530</v>
      </c>
      <c r="D7" s="45">
        <v>1253</v>
      </c>
      <c r="E7" s="724">
        <v>10631</v>
      </c>
    </row>
    <row r="8" spans="1:5" ht="15.75" customHeight="1">
      <c r="A8" s="614" t="s">
        <v>374</v>
      </c>
      <c r="B8" s="45">
        <v>3946</v>
      </c>
      <c r="C8" s="637" t="s">
        <v>528</v>
      </c>
      <c r="D8" s="45">
        <v>3946</v>
      </c>
      <c r="E8" s="723">
        <v>0</v>
      </c>
    </row>
    <row r="9" spans="1:7" ht="15.75" customHeight="1">
      <c r="A9" s="634" t="s">
        <v>393</v>
      </c>
      <c r="B9" s="45">
        <v>1000</v>
      </c>
      <c r="C9" s="637" t="s">
        <v>528</v>
      </c>
      <c r="D9" s="45">
        <v>1000</v>
      </c>
      <c r="E9" s="723">
        <v>0</v>
      </c>
      <c r="G9" s="636"/>
    </row>
    <row r="10" spans="1:7" ht="15.75" customHeight="1">
      <c r="A10" s="614" t="s">
        <v>544</v>
      </c>
      <c r="B10" s="45">
        <v>240</v>
      </c>
      <c r="C10" s="637" t="s">
        <v>528</v>
      </c>
      <c r="D10" s="45">
        <v>240</v>
      </c>
      <c r="E10" s="723">
        <v>0</v>
      </c>
      <c r="G10" s="636"/>
    </row>
    <row r="11" spans="1:5" ht="15.75" customHeight="1">
      <c r="A11" s="609" t="s">
        <v>394</v>
      </c>
      <c r="B11" s="45"/>
      <c r="C11" s="637"/>
      <c r="D11" s="45"/>
      <c r="E11" s="723">
        <v>0</v>
      </c>
    </row>
    <row r="12" spans="1:5" ht="15.75" customHeight="1">
      <c r="A12" s="634" t="s">
        <v>395</v>
      </c>
      <c r="B12" s="45">
        <v>500</v>
      </c>
      <c r="C12" s="637" t="s">
        <v>528</v>
      </c>
      <c r="D12" s="45">
        <v>500</v>
      </c>
      <c r="E12" s="610" t="s">
        <v>478</v>
      </c>
    </row>
    <row r="13" spans="1:5" ht="15.75" customHeight="1">
      <c r="A13" s="614" t="s">
        <v>545</v>
      </c>
      <c r="B13" s="45">
        <v>5160</v>
      </c>
      <c r="C13" s="637" t="s">
        <v>528</v>
      </c>
      <c r="D13" s="45">
        <v>5160</v>
      </c>
      <c r="E13" s="610" t="s">
        <v>478</v>
      </c>
    </row>
    <row r="14" spans="1:5" ht="12.75" customHeight="1">
      <c r="A14" s="87"/>
      <c r="B14" s="45"/>
      <c r="C14" s="637"/>
      <c r="D14" s="45"/>
      <c r="E14" s="610"/>
    </row>
    <row r="15" spans="1:5" ht="15.75" customHeight="1">
      <c r="A15" s="635" t="s">
        <v>377</v>
      </c>
      <c r="B15" s="45"/>
      <c r="C15" s="637"/>
      <c r="D15" s="45"/>
      <c r="E15" s="610"/>
    </row>
    <row r="16" spans="1:5" ht="15.75" customHeight="1">
      <c r="A16" s="614" t="s">
        <v>378</v>
      </c>
      <c r="B16" s="45">
        <v>200000</v>
      </c>
      <c r="C16" s="637" t="s">
        <v>528</v>
      </c>
      <c r="D16" s="45">
        <v>200000</v>
      </c>
      <c r="E16" s="723">
        <v>0</v>
      </c>
    </row>
    <row r="17" spans="1:5" ht="15.75" customHeight="1">
      <c r="A17" s="614" t="s">
        <v>379</v>
      </c>
      <c r="B17" s="45">
        <v>35000</v>
      </c>
      <c r="C17" s="637" t="s">
        <v>529</v>
      </c>
      <c r="D17" s="45">
        <v>35000</v>
      </c>
      <c r="E17" s="723">
        <v>0</v>
      </c>
    </row>
    <row r="18" spans="1:5" ht="15.75" customHeight="1">
      <c r="A18" s="614" t="s">
        <v>380</v>
      </c>
      <c r="B18" s="45">
        <v>35000</v>
      </c>
      <c r="C18" s="637" t="s">
        <v>528</v>
      </c>
      <c r="D18" s="45">
        <v>35000</v>
      </c>
      <c r="E18" s="723">
        <v>0</v>
      </c>
    </row>
    <row r="19" spans="1:5" ht="15.75" customHeight="1">
      <c r="A19" s="614" t="s">
        <v>396</v>
      </c>
      <c r="B19" s="45">
        <v>5000</v>
      </c>
      <c r="C19" s="637" t="s">
        <v>528</v>
      </c>
      <c r="D19" s="45">
        <v>5000</v>
      </c>
      <c r="E19" s="723">
        <v>0</v>
      </c>
    </row>
    <row r="20" spans="1:5" ht="15.75" customHeight="1">
      <c r="A20" s="614" t="s">
        <v>473</v>
      </c>
      <c r="B20" s="45">
        <v>1800</v>
      </c>
      <c r="C20" s="637" t="s">
        <v>528</v>
      </c>
      <c r="D20" s="45">
        <v>1800</v>
      </c>
      <c r="E20" s="723">
        <v>0</v>
      </c>
    </row>
    <row r="21" spans="1:5" ht="15.75" customHeight="1">
      <c r="A21" s="614" t="s">
        <v>474</v>
      </c>
      <c r="B21" s="45">
        <v>350</v>
      </c>
      <c r="C21" s="637" t="s">
        <v>528</v>
      </c>
      <c r="D21" s="45">
        <v>350</v>
      </c>
      <c r="E21" s="723">
        <v>0</v>
      </c>
    </row>
    <row r="22" spans="1:5" ht="15.75" customHeight="1">
      <c r="A22" s="754" t="s">
        <v>556</v>
      </c>
      <c r="B22" s="46"/>
      <c r="C22" s="761" t="s">
        <v>528</v>
      </c>
      <c r="D22" s="46">
        <v>30000</v>
      </c>
      <c r="E22" s="805"/>
    </row>
    <row r="23" spans="1:5" ht="15.75" customHeight="1" thickBot="1">
      <c r="A23" s="754"/>
      <c r="B23" s="46"/>
      <c r="C23" s="100"/>
      <c r="D23" s="46"/>
      <c r="E23" s="722"/>
    </row>
    <row r="24" spans="1:5" ht="15.75" customHeight="1" thickBot="1">
      <c r="A24" s="751" t="s">
        <v>315</v>
      </c>
      <c r="B24" s="752">
        <f>SUM(B25:B26)</f>
        <v>1000</v>
      </c>
      <c r="C24" s="752"/>
      <c r="D24" s="752">
        <f>SUM(D25:D26)</f>
        <v>1000</v>
      </c>
      <c r="E24" s="753">
        <f>SUM(E25:E26)</f>
        <v>0</v>
      </c>
    </row>
    <row r="25" spans="1:5" ht="15.75" customHeight="1">
      <c r="A25" s="183" t="s">
        <v>381</v>
      </c>
      <c r="B25" s="748">
        <v>1000</v>
      </c>
      <c r="C25" s="757" t="s">
        <v>528</v>
      </c>
      <c r="D25" s="748">
        <v>1000</v>
      </c>
      <c r="E25" s="755">
        <v>0</v>
      </c>
    </row>
    <row r="26" spans="1:5" ht="15.75" customHeight="1" thickBot="1">
      <c r="A26" s="99"/>
      <c r="B26" s="46"/>
      <c r="C26" s="100"/>
      <c r="D26" s="46"/>
      <c r="E26" s="722"/>
    </row>
    <row r="27" spans="1:5" ht="15.75" customHeight="1" thickBot="1">
      <c r="A27" s="751" t="s">
        <v>313</v>
      </c>
      <c r="B27" s="752">
        <f>SUM(B28)</f>
        <v>1000</v>
      </c>
      <c r="C27" s="752"/>
      <c r="D27" s="752">
        <f>SUM(D28)</f>
        <v>1000</v>
      </c>
      <c r="E27" s="756">
        <f>SUM(E28)</f>
        <v>0</v>
      </c>
    </row>
    <row r="28" spans="1:5" ht="15.75" customHeight="1">
      <c r="A28" s="183" t="s">
        <v>397</v>
      </c>
      <c r="B28" s="748">
        <v>1000</v>
      </c>
      <c r="C28" s="757" t="s">
        <v>528</v>
      </c>
      <c r="D28" s="748">
        <v>1000</v>
      </c>
      <c r="E28" s="755">
        <v>0</v>
      </c>
    </row>
    <row r="29" spans="1:5" ht="15.75" customHeight="1" thickBot="1">
      <c r="A29" s="99"/>
      <c r="B29" s="46"/>
      <c r="C29" s="761"/>
      <c r="D29" s="46"/>
      <c r="E29" s="722"/>
    </row>
    <row r="30" spans="1:5" ht="15.75" customHeight="1" thickBot="1">
      <c r="A30" s="751" t="s">
        <v>314</v>
      </c>
      <c r="B30" s="752">
        <v>300</v>
      </c>
      <c r="C30" s="758"/>
      <c r="D30" s="752">
        <v>300</v>
      </c>
      <c r="E30" s="759" t="s">
        <v>478</v>
      </c>
    </row>
    <row r="31" spans="1:5" ht="15.75" customHeight="1">
      <c r="A31" s="183" t="s">
        <v>327</v>
      </c>
      <c r="B31" s="748">
        <v>300</v>
      </c>
      <c r="C31" s="757" t="s">
        <v>528</v>
      </c>
      <c r="D31" s="748">
        <v>300</v>
      </c>
      <c r="E31" s="755">
        <v>0</v>
      </c>
    </row>
    <row r="32" spans="1:5" ht="15.75" customHeight="1" thickBot="1">
      <c r="A32" s="99"/>
      <c r="B32" s="46"/>
      <c r="C32" s="100"/>
      <c r="D32" s="46"/>
      <c r="E32" s="722"/>
    </row>
    <row r="33" spans="1:5" s="103" customFormat="1" ht="18" customHeight="1" thickBot="1">
      <c r="A33" s="41" t="s">
        <v>51</v>
      </c>
      <c r="B33" s="102">
        <f>B4+B24+B27+B30</f>
        <v>298794</v>
      </c>
      <c r="C33" s="164"/>
      <c r="D33" s="102">
        <f>D4+D24+D27+D30</f>
        <v>321324</v>
      </c>
      <c r="E33" s="725">
        <f>E4+E24+E27+E30</f>
        <v>13543</v>
      </c>
    </row>
    <row r="35" spans="1:3" ht="40.5" customHeight="1">
      <c r="A35" s="997" t="s">
        <v>527</v>
      </c>
      <c r="B35" s="998"/>
      <c r="C35" s="998"/>
    </row>
  </sheetData>
  <sheetProtection sheet="1"/>
  <mergeCells count="1">
    <mergeCell ref="A35:C35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portrait" paperSize="9" scale="105" r:id="rId1"/>
  <headerFooter alignWithMargins="0">
    <oddHeader xml:space="preserve">&amp;C&amp;"Times New Roman CE,Félkövér"&amp;12Beruházási kiadások
előirányzata feladatonként &amp;R&amp;"Times New Roman CE,Félkövér dőlt"&amp;11 8. számú melléklet&amp;"Times New Roman CE,Normál"&amp;10
   </oddHeader>
  </headerFooter>
  <ignoredErrors>
    <ignoredError sqref="E31:E33 E23:E29 B23:B33 D11 C32:C33 C14:C15 C23:C24 C26:C27 C29:C30 C4:C5 B5:B9 E4:E9 D23:D32 B11:B12 E11:E12 D5:D8 B14:B21 D14:E21" unlockedFormula="1"/>
    <ignoredError sqref="E30" numberStoredAsText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3.625" style="78" customWidth="1"/>
    <col min="2" max="2" width="15.625" style="77" customWidth="1"/>
    <col min="3" max="3" width="16.375" style="77" customWidth="1"/>
    <col min="4" max="4" width="16.625" style="77" customWidth="1"/>
    <col min="5" max="5" width="18.875" style="77" customWidth="1"/>
    <col min="6" max="7" width="12.875" style="77" customWidth="1"/>
    <col min="8" max="8" width="13.875" style="77" customWidth="1"/>
    <col min="9" max="16384" width="9.375" style="77" customWidth="1"/>
  </cols>
  <sheetData>
    <row r="1" ht="23.25" customHeight="1" thickBot="1">
      <c r="E1" s="104" t="s">
        <v>47</v>
      </c>
    </row>
    <row r="2" spans="1:5" s="85" customFormat="1" ht="48.75" customHeight="1" thickBot="1">
      <c r="A2" s="83" t="s">
        <v>56</v>
      </c>
      <c r="B2" s="84" t="s">
        <v>54</v>
      </c>
      <c r="C2" s="84" t="s">
        <v>55</v>
      </c>
      <c r="D2" s="84" t="s">
        <v>195</v>
      </c>
      <c r="E2" s="93" t="s">
        <v>197</v>
      </c>
    </row>
    <row r="3" spans="1:5" s="97" customFormat="1" ht="15" customHeight="1" thickBot="1">
      <c r="A3" s="94">
        <v>1</v>
      </c>
      <c r="B3" s="95">
        <v>2</v>
      </c>
      <c r="C3" s="95">
        <v>3</v>
      </c>
      <c r="D3" s="95">
        <v>5</v>
      </c>
      <c r="E3" s="96">
        <v>6</v>
      </c>
    </row>
    <row r="4" spans="1:5" ht="15.75" customHeight="1">
      <c r="A4" s="401"/>
      <c r="B4" s="698"/>
      <c r="C4" s="698"/>
      <c r="D4" s="726"/>
      <c r="E4" s="727"/>
    </row>
    <row r="5" spans="1:5" ht="15.75" customHeight="1">
      <c r="A5" s="401" t="s">
        <v>508</v>
      </c>
      <c r="B5" s="698">
        <v>1200</v>
      </c>
      <c r="C5" s="698"/>
      <c r="D5" s="698">
        <v>1200</v>
      </c>
      <c r="E5" s="699">
        <v>0</v>
      </c>
    </row>
    <row r="6" spans="1:5" ht="15.75" customHeight="1">
      <c r="A6" s="87" t="s">
        <v>509</v>
      </c>
      <c r="B6" s="700">
        <v>1200</v>
      </c>
      <c r="C6" s="700" t="s">
        <v>528</v>
      </c>
      <c r="D6" s="700">
        <v>1200</v>
      </c>
      <c r="E6" s="615">
        <v>0</v>
      </c>
    </row>
    <row r="7" spans="1:5" ht="15.75" customHeight="1">
      <c r="A7" s="87"/>
      <c r="B7" s="700"/>
      <c r="C7" s="700"/>
      <c r="D7" s="700"/>
      <c r="E7" s="615"/>
    </row>
    <row r="8" spans="1:5" ht="15.75" customHeight="1">
      <c r="A8" s="401" t="s">
        <v>506</v>
      </c>
      <c r="B8" s="726">
        <v>250</v>
      </c>
      <c r="C8" s="698"/>
      <c r="D8" s="726">
        <v>250</v>
      </c>
      <c r="E8" s="727">
        <v>0</v>
      </c>
    </row>
    <row r="9" spans="1:5" ht="15.75" customHeight="1">
      <c r="A9" s="87" t="s">
        <v>507</v>
      </c>
      <c r="B9" s="700" t="s">
        <v>505</v>
      </c>
      <c r="C9" s="700" t="s">
        <v>528</v>
      </c>
      <c r="D9" s="700" t="s">
        <v>505</v>
      </c>
      <c r="E9" s="615" t="s">
        <v>478</v>
      </c>
    </row>
    <row r="10" spans="1:5" ht="15.75" customHeight="1">
      <c r="A10" s="87"/>
      <c r="B10" s="700"/>
      <c r="C10" s="700"/>
      <c r="D10" s="700"/>
      <c r="E10" s="615"/>
    </row>
    <row r="11" spans="1:5" ht="15.75" customHeight="1">
      <c r="A11" s="401" t="s">
        <v>314</v>
      </c>
      <c r="B11" s="726">
        <v>900</v>
      </c>
      <c r="C11" s="698"/>
      <c r="D11" s="726">
        <v>900</v>
      </c>
      <c r="E11" s="727">
        <v>0</v>
      </c>
    </row>
    <row r="12" spans="1:5" ht="15.75" customHeight="1">
      <c r="A12" s="87" t="s">
        <v>382</v>
      </c>
      <c r="B12" s="700" t="s">
        <v>504</v>
      </c>
      <c r="C12" s="700" t="s">
        <v>528</v>
      </c>
      <c r="D12" s="700" t="s">
        <v>504</v>
      </c>
      <c r="E12" s="615">
        <v>0</v>
      </c>
    </row>
    <row r="13" spans="1:5" ht="15.75" customHeight="1" thickBot="1">
      <c r="A13" s="99"/>
      <c r="B13" s="701"/>
      <c r="C13" s="701"/>
      <c r="D13" s="701"/>
      <c r="E13" s="702"/>
    </row>
    <row r="14" spans="1:5" s="103" customFormat="1" ht="18" customHeight="1" thickBot="1">
      <c r="A14" s="41" t="s">
        <v>51</v>
      </c>
      <c r="B14" s="105">
        <f>B5+B8+B11</f>
        <v>2350</v>
      </c>
      <c r="C14" s="165"/>
      <c r="D14" s="105">
        <f>D5+D8+D11</f>
        <v>2350</v>
      </c>
      <c r="E14" s="703">
        <f>E5+E8+E11</f>
        <v>0</v>
      </c>
    </row>
  </sheetData>
  <sheetProtection sheet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9. számú melléklet&amp;"Times New Roman CE,Normál"&amp;10
   </oddHeader>
  </headerFooter>
  <ignoredErrors>
    <ignoredError sqref="D8:E8 B9:B11 C10:C11 D9:E11 D12:E13 C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875" style="0" customWidth="1"/>
    <col min="2" max="2" width="43.875" style="0" customWidth="1"/>
    <col min="3" max="3" width="39.00390625" style="0" customWidth="1"/>
  </cols>
  <sheetData>
    <row r="1" ht="12.75">
      <c r="B1" t="s">
        <v>367</v>
      </c>
    </row>
    <row r="3" ht="13.5" thickBot="1">
      <c r="C3" t="s">
        <v>532</v>
      </c>
    </row>
    <row r="4" spans="1:3" ht="13.5" thickBot="1">
      <c r="A4" s="600"/>
      <c r="B4" s="601" t="s">
        <v>366</v>
      </c>
      <c r="C4" s="602" t="s">
        <v>283</v>
      </c>
    </row>
    <row r="5" spans="1:3" ht="12.75">
      <c r="A5" s="597"/>
      <c r="B5" s="598"/>
      <c r="C5" s="599"/>
    </row>
    <row r="6" spans="1:3" ht="12.75">
      <c r="A6" s="594">
        <v>1</v>
      </c>
      <c r="B6" s="593" t="str">
        <f>'13.szakfeladat'!B9:E9</f>
        <v>Kisegítő megzőgazdasági szolgáltatás</v>
      </c>
      <c r="C6" s="595">
        <f>'13.szakfeladat'!H9</f>
        <v>894</v>
      </c>
    </row>
    <row r="7" spans="1:3" ht="12.75">
      <c r="A7" s="594">
        <v>2</v>
      </c>
      <c r="B7" s="593" t="str">
        <f>'13.szakfeladat'!B10:E10</f>
        <v>Helyi közutak létesítése, felújítása</v>
      </c>
      <c r="C7" s="595">
        <f>'13.szakfeladat'!H10</f>
        <v>0</v>
      </c>
    </row>
    <row r="8" spans="1:3" ht="12.75">
      <c r="A8" s="594">
        <v>3</v>
      </c>
      <c r="B8" s="593" t="str">
        <f>'13.szakfeladat'!B11:E11</f>
        <v>Óvodai Intézményi közétkeztetés</v>
      </c>
      <c r="C8" s="595">
        <f>'13.szakfeladat'!H11</f>
        <v>25760</v>
      </c>
    </row>
    <row r="9" spans="1:3" ht="12.75">
      <c r="A9" s="594">
        <v>4</v>
      </c>
      <c r="B9" s="593" t="str">
        <f>'13.szakfeladat'!B12:E12</f>
        <v>Közutak, hidak alagutak üzemeltetése</v>
      </c>
      <c r="C9" s="595">
        <f>'13.szakfeladat'!H12</f>
        <v>4440</v>
      </c>
    </row>
    <row r="10" spans="1:3" ht="12.75">
      <c r="A10" s="594">
        <v>5</v>
      </c>
      <c r="B10" s="593" t="str">
        <f>'13.szakfeladat'!B13:E13</f>
        <v>Igazgatási tevékenység</v>
      </c>
      <c r="C10" s="595">
        <f>'13.szakfeladat'!H13</f>
        <v>830342</v>
      </c>
    </row>
    <row r="11" spans="1:3" ht="12.75">
      <c r="A11" s="594">
        <v>6</v>
      </c>
      <c r="B11" s="593" t="str">
        <f>'13.szakfeladat'!B14:E14</f>
        <v>Város és községazdálkodás</v>
      </c>
      <c r="C11" s="595">
        <f>'13.szakfeladat'!H14</f>
        <v>13960</v>
      </c>
    </row>
    <row r="12" spans="1:3" ht="12.75">
      <c r="A12" s="594">
        <v>7</v>
      </c>
      <c r="B12" s="593" t="str">
        <f>'13.szakfeladat'!B15:E15</f>
        <v>Közvilágítási feladatok</v>
      </c>
      <c r="C12" s="595">
        <f>'13.szakfeladat'!H15</f>
        <v>33600</v>
      </c>
    </row>
    <row r="13" spans="1:3" ht="12.75">
      <c r="A13" s="594">
        <v>8</v>
      </c>
      <c r="B13" s="593" t="str">
        <f>'13.szakfeladat'!B16:E16</f>
        <v>Általános iskolának átadott pénzeszköz</v>
      </c>
      <c r="C13" s="595">
        <f>'13.szakfeladat'!H16</f>
        <v>303535</v>
      </c>
    </row>
    <row r="14" spans="1:3" ht="12.75">
      <c r="A14" s="594">
        <v>9</v>
      </c>
      <c r="B14" s="593" t="str">
        <f>'13.szakfeladat'!B17:E17</f>
        <v>Finanszírozási műveletek elszámolása (rul. Hitel)</v>
      </c>
      <c r="C14" s="595">
        <f>'13.szakfeladat'!H17</f>
        <v>0</v>
      </c>
    </row>
    <row r="15" spans="1:3" ht="12.75">
      <c r="A15" s="594">
        <v>10</v>
      </c>
      <c r="B15" s="593" t="str">
        <f>'13.szakfeladat'!B18:E18</f>
        <v>Óvodai nevelés</v>
      </c>
      <c r="C15" s="595">
        <f>'13.szakfeladat'!H18</f>
        <v>131684</v>
      </c>
    </row>
    <row r="16" spans="1:3" ht="12.75">
      <c r="A16" s="594">
        <v>11</v>
      </c>
      <c r="B16" s="593" t="str">
        <f>'13.szakfeladat'!B19:E19</f>
        <v>Háziorvosi szolgálat</v>
      </c>
      <c r="C16" s="595">
        <f>'13.szakfeladat'!H19</f>
        <v>35176</v>
      </c>
    </row>
    <row r="17" spans="1:3" ht="12.75">
      <c r="A17" s="594">
        <v>12</v>
      </c>
      <c r="B17" s="593" t="str">
        <f>'13.szakfeladat'!B20:E20</f>
        <v>Kiegészítő alapellátási szolgáltatások</v>
      </c>
      <c r="C17" s="595">
        <f>'13.szakfeladat'!H20</f>
        <v>3924</v>
      </c>
    </row>
    <row r="18" spans="1:3" ht="12.75">
      <c r="A18" s="594">
        <v>13</v>
      </c>
      <c r="B18" s="593" t="str">
        <f>'13.szakfeladat'!B21:E21</f>
        <v>Védőnői szolgálat</v>
      </c>
      <c r="C18" s="595">
        <f>'13.szakfeladat'!H21</f>
        <v>14487</v>
      </c>
    </row>
    <row r="19" spans="1:3" ht="12.75">
      <c r="A19" s="594">
        <v>14</v>
      </c>
      <c r="B19" s="593" t="str">
        <f>'13.szakfeladat'!B22:E22</f>
        <v>Állategészségügy</v>
      </c>
      <c r="C19" s="595">
        <f>'13.szakfeladat'!H22</f>
        <v>3000</v>
      </c>
    </row>
    <row r="20" spans="1:3" ht="12.75">
      <c r="A20" s="594">
        <v>15</v>
      </c>
      <c r="B20" s="593" t="str">
        <f>'13.szakfeladat'!B23:E23</f>
        <v>Szociális étkeztetés</v>
      </c>
      <c r="C20" s="595">
        <f>'13.szakfeladat'!H23</f>
        <v>3000</v>
      </c>
    </row>
    <row r="21" spans="1:3" ht="12.75">
      <c r="A21" s="594">
        <v>16</v>
      </c>
      <c r="B21" s="593" t="str">
        <f>'13.szakfeladat'!B24:E24</f>
        <v>Rendszeres szoc. Pénzbeni ellátás</v>
      </c>
      <c r="C21" s="595">
        <f>'13.szakfeladat'!H24</f>
        <v>29240</v>
      </c>
    </row>
    <row r="22" spans="1:3" ht="12.75">
      <c r="A22" s="594">
        <v>17</v>
      </c>
      <c r="B22" s="593" t="str">
        <f>'13.szakfeladat'!B25:E25</f>
        <v>Rendszeres gyermekvédelmi pénzb. Ellátás</v>
      </c>
      <c r="C22" s="595">
        <f>'13.szakfeladat'!H25</f>
        <v>3500</v>
      </c>
    </row>
    <row r="23" spans="1:3" ht="12.75">
      <c r="A23" s="594">
        <v>18</v>
      </c>
      <c r="B23" s="593" t="str">
        <f>'13.szakfeladat'!B26:E26</f>
        <v>Munkanélküli ellátások</v>
      </c>
      <c r="C23" s="595">
        <f>'13.szakfeladat'!H26</f>
        <v>2800</v>
      </c>
    </row>
    <row r="24" spans="1:3" ht="12.75">
      <c r="A24" s="594">
        <v>19</v>
      </c>
      <c r="B24" s="593" t="str">
        <f>'13.szakfeladat'!B27:E27</f>
        <v>Eseti pénzbeli szociális ellátások</v>
      </c>
      <c r="C24" s="595">
        <f>'13.szakfeladat'!H27</f>
        <v>17260</v>
      </c>
    </row>
    <row r="25" spans="1:3" ht="12.75">
      <c r="A25" s="594">
        <v>20</v>
      </c>
      <c r="B25" s="593" t="str">
        <f>'13.szakfeladat'!B28:E28</f>
        <v>Eseti pénzbeni gyermekvédelmi ellátások</v>
      </c>
      <c r="C25" s="595">
        <f>'13.szakfeladat'!H28</f>
        <v>1800</v>
      </c>
    </row>
    <row r="26" spans="1:3" ht="12.75">
      <c r="A26" s="679">
        <v>21</v>
      </c>
      <c r="B26" s="680" t="str">
        <f>'13.szakfeladat'!B29:E29</f>
        <v>Közművelődési könyvtári tevékenység</v>
      </c>
      <c r="C26" s="704">
        <f>'13.szakfeladat'!H29</f>
        <v>11678</v>
      </c>
    </row>
    <row r="27" spans="1:3" ht="12.75">
      <c r="A27" s="594"/>
      <c r="B27" s="593"/>
      <c r="C27" s="595"/>
    </row>
    <row r="28" spans="1:3" ht="12.75">
      <c r="A28" s="594"/>
      <c r="B28" s="593"/>
      <c r="C28" s="595"/>
    </row>
    <row r="29" spans="1:3" ht="13.5" thickBot="1">
      <c r="A29" s="606"/>
      <c r="B29" s="603"/>
      <c r="C29" s="605"/>
    </row>
    <row r="30" spans="1:3" ht="13.5" thickBot="1">
      <c r="A30" s="894">
        <v>22</v>
      </c>
      <c r="B30" s="895" t="s">
        <v>35</v>
      </c>
      <c r="C30" s="896">
        <f>SUM(C6:C29)</f>
        <v>1470080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&amp;R10.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6.875" style="78" customWidth="1"/>
    <col min="2" max="2" width="45.50390625" style="77" customWidth="1"/>
    <col min="3" max="3" width="14.50390625" style="77" customWidth="1"/>
    <col min="4" max="9" width="12.875" style="77" customWidth="1"/>
    <col min="10" max="10" width="13.875" style="77" customWidth="1"/>
    <col min="11" max="16384" width="9.375" style="77" customWidth="1"/>
  </cols>
  <sheetData>
    <row r="1" ht="33.75" customHeight="1" thickBot="1">
      <c r="J1" s="107" t="s">
        <v>47</v>
      </c>
    </row>
    <row r="2" spans="1:10" s="108" customFormat="1" ht="26.25" customHeight="1">
      <c r="A2" s="1006" t="s">
        <v>59</v>
      </c>
      <c r="B2" s="1001" t="s">
        <v>88</v>
      </c>
      <c r="C2" s="812"/>
      <c r="D2" s="1006" t="s">
        <v>89</v>
      </c>
      <c r="E2" s="1006" t="s">
        <v>198</v>
      </c>
      <c r="F2" s="1003" t="s">
        <v>58</v>
      </c>
      <c r="G2" s="1004"/>
      <c r="H2" s="1004"/>
      <c r="I2" s="1005"/>
      <c r="J2" s="1001" t="s">
        <v>35</v>
      </c>
    </row>
    <row r="3" spans="1:10" s="109" customFormat="1" ht="32.25" customHeight="1" thickBot="1">
      <c r="A3" s="1007"/>
      <c r="B3" s="1002"/>
      <c r="C3" s="813" t="s">
        <v>316</v>
      </c>
      <c r="D3" s="1002"/>
      <c r="E3" s="1007"/>
      <c r="F3" s="814" t="s">
        <v>131</v>
      </c>
      <c r="G3" s="815" t="s">
        <v>140</v>
      </c>
      <c r="H3" s="815" t="s">
        <v>199</v>
      </c>
      <c r="I3" s="816">
        <v>2011</v>
      </c>
      <c r="J3" s="1002"/>
    </row>
    <row r="4" spans="1:10" s="110" customFormat="1" ht="12.75" customHeight="1" thickBot="1">
      <c r="A4" s="817"/>
      <c r="B4" s="818">
        <v>2</v>
      </c>
      <c r="C4" s="819"/>
      <c r="D4" s="818">
        <v>3</v>
      </c>
      <c r="E4" s="818">
        <v>4</v>
      </c>
      <c r="F4" s="817">
        <v>5</v>
      </c>
      <c r="G4" s="820">
        <v>6</v>
      </c>
      <c r="H4" s="820">
        <v>7</v>
      </c>
      <c r="I4" s="821">
        <v>8</v>
      </c>
      <c r="J4" s="822" t="s">
        <v>90</v>
      </c>
    </row>
    <row r="5" spans="1:10" ht="19.5" customHeight="1" thickBot="1">
      <c r="A5" s="823" t="s">
        <v>3</v>
      </c>
      <c r="B5" s="878" t="s">
        <v>60</v>
      </c>
      <c r="C5" s="824"/>
      <c r="D5" s="825"/>
      <c r="E5" s="826">
        <f>SUM(E6:E7)</f>
        <v>0</v>
      </c>
      <c r="F5" s="827">
        <f>SUM(F6:F7)</f>
        <v>0</v>
      </c>
      <c r="G5" s="828">
        <f>SUM(G6:G7)</f>
        <v>0</v>
      </c>
      <c r="H5" s="828">
        <f>SUM(H6:H7)</f>
        <v>0</v>
      </c>
      <c r="I5" s="829">
        <f>SUM(I6:I7)</f>
        <v>0</v>
      </c>
      <c r="J5" s="830">
        <f aca="true" t="shared" si="0" ref="J5:J18">SUM(E5:I5)</f>
        <v>0</v>
      </c>
    </row>
    <row r="6" spans="1:10" ht="19.5" customHeight="1">
      <c r="A6" s="831" t="s">
        <v>4</v>
      </c>
      <c r="B6" s="885" t="s">
        <v>320</v>
      </c>
      <c r="C6" s="833"/>
      <c r="D6" s="834"/>
      <c r="E6" s="835"/>
      <c r="F6" s="836"/>
      <c r="G6" s="837"/>
      <c r="H6" s="837"/>
      <c r="I6" s="838"/>
      <c r="J6" s="839">
        <f t="shared" si="0"/>
        <v>0</v>
      </c>
    </row>
    <row r="7" spans="1:10" ht="19.5" customHeight="1" thickBot="1">
      <c r="A7" s="831" t="s">
        <v>5</v>
      </c>
      <c r="B7" s="832"/>
      <c r="C7" s="833"/>
      <c r="D7" s="834"/>
      <c r="E7" s="835"/>
      <c r="F7" s="836"/>
      <c r="G7" s="837"/>
      <c r="H7" s="837"/>
      <c r="I7" s="838"/>
      <c r="J7" s="839">
        <f t="shared" si="0"/>
        <v>0</v>
      </c>
    </row>
    <row r="8" spans="1:10" ht="25.5" customHeight="1" thickBot="1">
      <c r="A8" s="823" t="s">
        <v>6</v>
      </c>
      <c r="B8" s="886" t="s">
        <v>567</v>
      </c>
      <c r="C8" s="887"/>
      <c r="D8" s="879"/>
      <c r="E8" s="880">
        <f>SUM(E9:E10)</f>
        <v>17529</v>
      </c>
      <c r="F8" s="881">
        <f>SUM(F9:F10)</f>
        <v>60000</v>
      </c>
      <c r="G8" s="882">
        <f>SUM(G9:G10)</f>
        <v>60000</v>
      </c>
      <c r="H8" s="882">
        <f>SUM(H9:H10)</f>
        <v>60000</v>
      </c>
      <c r="I8" s="882">
        <f>SUM(I9:I10)</f>
        <v>80000</v>
      </c>
      <c r="J8" s="884">
        <f t="shared" si="0"/>
        <v>277529</v>
      </c>
    </row>
    <row r="9" spans="1:10" ht="19.5" customHeight="1">
      <c r="A9" s="831" t="s">
        <v>7</v>
      </c>
      <c r="B9" s="832" t="s">
        <v>318</v>
      </c>
      <c r="C9" s="833">
        <v>1300000</v>
      </c>
      <c r="D9" s="834">
        <v>2007</v>
      </c>
      <c r="E9" s="835">
        <v>17529</v>
      </c>
      <c r="F9" s="836">
        <v>60000</v>
      </c>
      <c r="G9" s="837">
        <v>60000</v>
      </c>
      <c r="H9" s="837">
        <v>60000</v>
      </c>
      <c r="I9" s="838">
        <v>60000</v>
      </c>
      <c r="J9" s="839">
        <f t="shared" si="0"/>
        <v>257529</v>
      </c>
    </row>
    <row r="10" spans="1:10" ht="19.5" customHeight="1" thickBot="1">
      <c r="A10" s="831" t="s">
        <v>8</v>
      </c>
      <c r="B10" s="841" t="s">
        <v>317</v>
      </c>
      <c r="C10" s="842">
        <v>1300000</v>
      </c>
      <c r="D10" s="834"/>
      <c r="E10" s="835"/>
      <c r="F10" s="836"/>
      <c r="G10" s="837"/>
      <c r="H10" s="837"/>
      <c r="I10" s="838">
        <v>20000</v>
      </c>
      <c r="J10" s="839">
        <f t="shared" si="0"/>
        <v>20000</v>
      </c>
    </row>
    <row r="11" spans="1:10" ht="19.5" customHeight="1" thickBot="1">
      <c r="A11" s="823" t="s">
        <v>9</v>
      </c>
      <c r="B11" s="886" t="s">
        <v>149</v>
      </c>
      <c r="C11" s="887"/>
      <c r="D11" s="879"/>
      <c r="E11" s="880">
        <f>SUM(E12:E12)</f>
        <v>1199</v>
      </c>
      <c r="F11" s="881">
        <f>SUM(F12:F12)</f>
        <v>1028</v>
      </c>
      <c r="G11" s="882">
        <f>SUM(G12:G12)</f>
        <v>1028</v>
      </c>
      <c r="H11" s="882">
        <f>SUM(H12:H12)</f>
        <v>1028</v>
      </c>
      <c r="I11" s="883">
        <f>SUM(I12:I12)</f>
        <v>856</v>
      </c>
      <c r="J11" s="884">
        <f t="shared" si="0"/>
        <v>5139</v>
      </c>
    </row>
    <row r="12" spans="1:10" ht="19.5" customHeight="1">
      <c r="A12" s="831" t="s">
        <v>10</v>
      </c>
      <c r="B12" s="832" t="s">
        <v>319</v>
      </c>
      <c r="C12" s="833">
        <v>4440</v>
      </c>
      <c r="D12" s="834">
        <v>2006</v>
      </c>
      <c r="E12" s="835">
        <v>1199</v>
      </c>
      <c r="F12" s="836">
        <v>1028</v>
      </c>
      <c r="G12" s="837">
        <v>1028</v>
      </c>
      <c r="H12" s="837">
        <v>1028</v>
      </c>
      <c r="I12" s="838">
        <v>856</v>
      </c>
      <c r="J12" s="839">
        <f>SUM(E12:I12)</f>
        <v>5139</v>
      </c>
    </row>
    <row r="13" spans="1:10" ht="19.5" customHeight="1">
      <c r="A13" s="843">
        <v>9</v>
      </c>
      <c r="B13" s="844" t="s">
        <v>342</v>
      </c>
      <c r="C13" s="845"/>
      <c r="D13" s="846">
        <v>2005</v>
      </c>
      <c r="E13" s="847"/>
      <c r="F13" s="848">
        <v>1253</v>
      </c>
      <c r="G13" s="849">
        <f>F13*1.1</f>
        <v>1378.3000000000002</v>
      </c>
      <c r="H13" s="849">
        <f>G13*1.1</f>
        <v>1516.1300000000003</v>
      </c>
      <c r="I13" s="849">
        <f>H13*1.1</f>
        <v>1667.7430000000004</v>
      </c>
      <c r="J13" s="850">
        <f>SUM(E13:I13)</f>
        <v>5815.173000000001</v>
      </c>
    </row>
    <row r="14" spans="1:10" ht="19.5" customHeight="1">
      <c r="A14" s="851">
        <v>10</v>
      </c>
      <c r="B14" s="832" t="s">
        <v>555</v>
      </c>
      <c r="C14" s="833">
        <v>1949</v>
      </c>
      <c r="D14" s="834">
        <v>2007</v>
      </c>
      <c r="E14" s="835">
        <v>599</v>
      </c>
      <c r="F14" s="836">
        <v>840</v>
      </c>
      <c r="G14" s="837">
        <v>510</v>
      </c>
      <c r="H14" s="837"/>
      <c r="I14" s="852"/>
      <c r="J14" s="839"/>
    </row>
    <row r="15" spans="1:10" ht="19.5" customHeight="1" thickBot="1">
      <c r="A15" s="853"/>
      <c r="B15" s="854"/>
      <c r="C15" s="855"/>
      <c r="D15" s="856"/>
      <c r="E15" s="857"/>
      <c r="F15" s="858"/>
      <c r="G15" s="859"/>
      <c r="H15" s="859"/>
      <c r="I15" s="860"/>
      <c r="J15" s="861"/>
    </row>
    <row r="16" spans="1:11" ht="19.5" customHeight="1" thickBot="1">
      <c r="A16" s="823">
        <v>11</v>
      </c>
      <c r="B16" s="886" t="s">
        <v>326</v>
      </c>
      <c r="C16" s="840"/>
      <c r="D16" s="825"/>
      <c r="E16" s="826">
        <f>SUM(E17:E17)</f>
        <v>0</v>
      </c>
      <c r="F16" s="827">
        <f>SUM(F17:F17)</f>
        <v>0</v>
      </c>
      <c r="G16" s="828">
        <f>SUM(G17:G17)</f>
        <v>0</v>
      </c>
      <c r="H16" s="828">
        <f>SUM(H17:H17)</f>
        <v>0</v>
      </c>
      <c r="I16" s="829">
        <f>SUM(I17:I17)</f>
        <v>0</v>
      </c>
      <c r="J16" s="830">
        <f t="shared" si="0"/>
        <v>0</v>
      </c>
      <c r="K16" s="111"/>
    </row>
    <row r="17" spans="1:10" ht="19.5" customHeight="1" thickBot="1">
      <c r="A17" s="862">
        <v>12</v>
      </c>
      <c r="B17" s="863" t="s">
        <v>61</v>
      </c>
      <c r="C17" s="864"/>
      <c r="D17" s="865"/>
      <c r="E17" s="866"/>
      <c r="F17" s="867"/>
      <c r="G17" s="868"/>
      <c r="H17" s="868"/>
      <c r="I17" s="869"/>
      <c r="J17" s="850">
        <f t="shared" si="0"/>
        <v>0</v>
      </c>
    </row>
    <row r="18" spans="1:10" ht="19.5" customHeight="1" thickBot="1">
      <c r="A18" s="823">
        <v>13</v>
      </c>
      <c r="B18" s="886" t="s">
        <v>142</v>
      </c>
      <c r="C18" s="840"/>
      <c r="D18" s="825"/>
      <c r="E18" s="870">
        <f>SUM(E19:E19)</f>
        <v>0</v>
      </c>
      <c r="F18" s="871">
        <f>SUM(F19:F19)</f>
        <v>0</v>
      </c>
      <c r="G18" s="872">
        <f>SUM(G19:G19)</f>
        <v>0</v>
      </c>
      <c r="H18" s="872">
        <f>SUM(H19:H19)</f>
        <v>0</v>
      </c>
      <c r="I18" s="873">
        <f>SUM(I19:I19)</f>
        <v>0</v>
      </c>
      <c r="J18" s="830">
        <f t="shared" si="0"/>
        <v>0</v>
      </c>
    </row>
    <row r="19" spans="1:10" ht="19.5" customHeight="1" thickBot="1">
      <c r="A19" s="853">
        <v>14</v>
      </c>
      <c r="B19" s="874" t="s">
        <v>61</v>
      </c>
      <c r="C19" s="845"/>
      <c r="D19" s="875"/>
      <c r="E19" s="847"/>
      <c r="F19" s="848"/>
      <c r="G19" s="849"/>
      <c r="H19" s="849"/>
      <c r="I19" s="876"/>
      <c r="J19" s="877"/>
    </row>
    <row r="20" spans="1:10" ht="19.5" customHeight="1" thickBot="1">
      <c r="A20" s="999" t="s">
        <v>148</v>
      </c>
      <c r="B20" s="1000"/>
      <c r="C20" s="888"/>
      <c r="D20" s="889"/>
      <c r="E20" s="880">
        <f>E5+E8+E11+E16+E18</f>
        <v>18728</v>
      </c>
      <c r="F20" s="881">
        <f>F5+F8+F11+F16+F18</f>
        <v>61028</v>
      </c>
      <c r="G20" s="882">
        <f>G5+G8+G11+G16+G18</f>
        <v>61028</v>
      </c>
      <c r="H20" s="882">
        <f>H5+H8+H11+H16+H18</f>
        <v>61028</v>
      </c>
      <c r="I20" s="883">
        <f>I5+I8+I11+I16+I18</f>
        <v>80856</v>
      </c>
      <c r="J20" s="884">
        <f>SUM(E20:I20)</f>
        <v>282668</v>
      </c>
    </row>
  </sheetData>
  <sheetProtection sheet="1"/>
  <mergeCells count="7">
    <mergeCell ref="A20:B20"/>
    <mergeCell ref="J2:J3"/>
    <mergeCell ref="F2:I2"/>
    <mergeCell ref="A2:A3"/>
    <mergeCell ref="B2:B3"/>
    <mergeCell ref="D2:D3"/>
    <mergeCell ref="E2:E3"/>
  </mergeCells>
  <printOptions horizontalCentered="1"/>
  <pageMargins left="0.5905511811023623" right="0.5905511811023623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11. számú melléklet</oddHeader>
  </headerFooter>
  <ignoredErrors>
    <ignoredError sqref="J15:J19 F15:F17 G16:I17 F19:I19 G10:I12 F10:F13 J9:J13" formulaRange="1"/>
    <ignoredError sqref="G15:I15 F18:I18 G13:I13" formulaRange="1" unlockedFormula="1"/>
    <ignoredError sqref="E18" unlockedFormula="1"/>
    <ignoredError sqref="A5:A13 F3:H3 A1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C43"/>
  <sheetViews>
    <sheetView zoomScale="125" zoomScaleNormal="125" zoomScalePageLayoutView="0" workbookViewId="0" topLeftCell="A1">
      <selection activeCell="E11" sqref="E11"/>
    </sheetView>
  </sheetViews>
  <sheetFormatPr defaultColWidth="9.00390625" defaultRowHeight="12.75"/>
  <cols>
    <col min="1" max="1" width="4.875" style="0" customWidth="1"/>
    <col min="2" max="2" width="43.375" style="0" customWidth="1"/>
    <col min="3" max="3" width="40.50390625" style="0" customWidth="1"/>
    <col min="4" max="4" width="14.875" style="0" customWidth="1"/>
  </cols>
  <sheetData>
    <row r="2" ht="13.5" thickBot="1">
      <c r="C2" s="728" t="s">
        <v>325</v>
      </c>
    </row>
    <row r="3" spans="1:3" ht="14.25" thickBot="1">
      <c r="A3" s="797" t="s">
        <v>479</v>
      </c>
      <c r="B3" s="691" t="s">
        <v>449</v>
      </c>
      <c r="C3" s="689" t="s">
        <v>475</v>
      </c>
    </row>
    <row r="4" spans="1:3" ht="12.75">
      <c r="A4" s="674"/>
      <c r="B4" s="675"/>
      <c r="C4" s="676"/>
    </row>
    <row r="5" spans="1:3" ht="12.75">
      <c r="A5" s="594">
        <v>1</v>
      </c>
      <c r="B5" s="593" t="s">
        <v>444</v>
      </c>
      <c r="C5" s="677">
        <v>1300</v>
      </c>
    </row>
    <row r="6" spans="1:3" ht="12.75">
      <c r="A6" s="594">
        <v>2</v>
      </c>
      <c r="B6" s="593" t="s">
        <v>445</v>
      </c>
      <c r="C6" s="677">
        <v>3000</v>
      </c>
    </row>
    <row r="7" spans="1:3" ht="12.75">
      <c r="A7" s="594">
        <v>3</v>
      </c>
      <c r="B7" s="593" t="s">
        <v>446</v>
      </c>
      <c r="C7" s="677">
        <v>100</v>
      </c>
    </row>
    <row r="8" spans="1:3" ht="12.75">
      <c r="A8" s="594">
        <v>4</v>
      </c>
      <c r="B8" s="593" t="s">
        <v>447</v>
      </c>
      <c r="C8" s="677">
        <v>300</v>
      </c>
    </row>
    <row r="9" spans="1:3" ht="13.5" thickBot="1">
      <c r="A9" s="679">
        <v>5</v>
      </c>
      <c r="B9" s="680" t="s">
        <v>448</v>
      </c>
      <c r="C9" s="681">
        <v>300</v>
      </c>
    </row>
    <row r="10" spans="1:3" ht="13.5" thickBot="1">
      <c r="A10" s="693">
        <v>6</v>
      </c>
      <c r="B10" s="694" t="s">
        <v>35</v>
      </c>
      <c r="C10" s="695">
        <f>SUM(C5:C9)</f>
        <v>5000</v>
      </c>
    </row>
    <row r="11" ht="13.5" thickBot="1">
      <c r="C11" s="673"/>
    </row>
    <row r="12" spans="1:3" ht="14.25" thickBot="1">
      <c r="A12" s="798" t="s">
        <v>480</v>
      </c>
      <c r="B12" s="688" t="s">
        <v>450</v>
      </c>
      <c r="C12" s="690" t="s">
        <v>475</v>
      </c>
    </row>
    <row r="13" spans="1:3" ht="12.75">
      <c r="A13" s="683"/>
      <c r="B13" s="675"/>
      <c r="C13" s="682"/>
    </row>
    <row r="14" spans="1:3" ht="12.75">
      <c r="A14" s="594">
        <v>1</v>
      </c>
      <c r="B14" s="593" t="s">
        <v>453</v>
      </c>
      <c r="C14" s="677">
        <v>300</v>
      </c>
    </row>
    <row r="15" spans="1:3" ht="12.75">
      <c r="A15" s="594">
        <v>2</v>
      </c>
      <c r="B15" s="593" t="s">
        <v>452</v>
      </c>
      <c r="C15" s="677">
        <v>200</v>
      </c>
    </row>
    <row r="16" spans="1:3" ht="12.75">
      <c r="A16" s="594">
        <v>3</v>
      </c>
      <c r="B16" s="593" t="s">
        <v>451</v>
      </c>
      <c r="C16" s="677">
        <v>2500</v>
      </c>
    </row>
    <row r="17" spans="1:3" ht="12.75">
      <c r="A17" s="594">
        <v>4</v>
      </c>
      <c r="B17" s="593" t="s">
        <v>454</v>
      </c>
      <c r="C17" s="677">
        <v>1300</v>
      </c>
    </row>
    <row r="18" spans="1:3" ht="12.75">
      <c r="A18" s="594">
        <v>5</v>
      </c>
      <c r="B18" s="593" t="s">
        <v>455</v>
      </c>
      <c r="C18" s="677">
        <v>1300</v>
      </c>
    </row>
    <row r="19" spans="1:3" ht="12.75">
      <c r="A19" s="594">
        <v>6</v>
      </c>
      <c r="B19" s="593" t="s">
        <v>456</v>
      </c>
      <c r="C19" s="677">
        <v>200</v>
      </c>
    </row>
    <row r="20" spans="1:3" ht="13.5" thickBot="1">
      <c r="A20" s="604">
        <v>7</v>
      </c>
      <c r="B20" s="596" t="s">
        <v>457</v>
      </c>
      <c r="C20" s="678">
        <v>200</v>
      </c>
    </row>
    <row r="21" spans="1:3" ht="13.5" thickBot="1">
      <c r="A21" s="696">
        <v>8</v>
      </c>
      <c r="B21" s="694" t="s">
        <v>35</v>
      </c>
      <c r="C21" s="695">
        <f>SUM(C14:C20)</f>
        <v>6000</v>
      </c>
    </row>
    <row r="22" ht="13.5" thickBot="1"/>
    <row r="23" spans="1:3" ht="14.25" thickBot="1">
      <c r="A23" s="797" t="s">
        <v>481</v>
      </c>
      <c r="B23" s="691" t="s">
        <v>458</v>
      </c>
      <c r="C23" s="689" t="s">
        <v>475</v>
      </c>
    </row>
    <row r="24" spans="1:3" ht="12.75">
      <c r="A24" s="674"/>
      <c r="B24" s="675"/>
      <c r="C24" s="676"/>
    </row>
    <row r="25" spans="1:3" ht="12.75">
      <c r="A25" s="594">
        <v>1</v>
      </c>
      <c r="B25" s="593" t="s">
        <v>459</v>
      </c>
      <c r="C25" s="684">
        <v>500</v>
      </c>
    </row>
    <row r="26" spans="1:3" ht="12.75">
      <c r="A26" s="594">
        <v>2</v>
      </c>
      <c r="B26" s="593" t="s">
        <v>460</v>
      </c>
      <c r="C26" s="684">
        <v>300</v>
      </c>
    </row>
    <row r="27" spans="1:3" ht="12.75">
      <c r="A27" s="594">
        <v>3</v>
      </c>
      <c r="B27" s="593" t="s">
        <v>461</v>
      </c>
      <c r="C27" s="684">
        <v>2500</v>
      </c>
    </row>
    <row r="28" spans="1:3" ht="12.75">
      <c r="A28" s="594">
        <v>4</v>
      </c>
      <c r="B28" s="593" t="s">
        <v>462</v>
      </c>
      <c r="C28" s="684">
        <v>500</v>
      </c>
    </row>
    <row r="29" spans="1:3" ht="12.75">
      <c r="A29" s="594">
        <v>5</v>
      </c>
      <c r="B29" s="593" t="s">
        <v>463</v>
      </c>
      <c r="C29" s="684">
        <v>100</v>
      </c>
    </row>
    <row r="30" spans="1:3" ht="12.75">
      <c r="A30" s="594">
        <v>6</v>
      </c>
      <c r="B30" s="593" t="s">
        <v>464</v>
      </c>
      <c r="C30" s="684">
        <v>150</v>
      </c>
    </row>
    <row r="31" spans="1:3" ht="12.75">
      <c r="A31" s="594">
        <v>7</v>
      </c>
      <c r="B31" s="593" t="s">
        <v>465</v>
      </c>
      <c r="C31" s="684">
        <v>50</v>
      </c>
    </row>
    <row r="32" spans="1:3" ht="12.75">
      <c r="A32" s="594">
        <v>8</v>
      </c>
      <c r="B32" s="593" t="s">
        <v>466</v>
      </c>
      <c r="C32" s="684">
        <v>600</v>
      </c>
    </row>
    <row r="33" spans="1:3" ht="12.75">
      <c r="A33" s="679">
        <v>9</v>
      </c>
      <c r="B33" s="680" t="s">
        <v>467</v>
      </c>
      <c r="C33" s="686">
        <v>300</v>
      </c>
    </row>
    <row r="34" spans="1:3" ht="13.5" thickBot="1">
      <c r="A34" s="604">
        <v>10</v>
      </c>
      <c r="B34" s="596" t="s">
        <v>557</v>
      </c>
      <c r="C34" s="685">
        <v>900</v>
      </c>
    </row>
    <row r="35" spans="1:3" ht="13.5" thickBot="1">
      <c r="A35" s="693">
        <v>11</v>
      </c>
      <c r="B35" s="694" t="s">
        <v>35</v>
      </c>
      <c r="C35" s="697">
        <f>SUM(C25:C34)</f>
        <v>5900</v>
      </c>
    </row>
    <row r="36" ht="13.5" thickBot="1"/>
    <row r="37" spans="1:3" ht="14.25" thickBot="1">
      <c r="A37" s="798" t="s">
        <v>482</v>
      </c>
      <c r="B37" s="691" t="s">
        <v>468</v>
      </c>
      <c r="C37" s="692" t="s">
        <v>475</v>
      </c>
    </row>
    <row r="38" spans="1:3" ht="12.75">
      <c r="A38" s="687"/>
      <c r="B38" s="598"/>
      <c r="C38" s="599"/>
    </row>
    <row r="39" spans="1:3" ht="12.75">
      <c r="A39" s="594">
        <v>1</v>
      </c>
      <c r="B39" s="593" t="s">
        <v>469</v>
      </c>
      <c r="C39" s="684">
        <v>300</v>
      </c>
    </row>
    <row r="40" spans="1:3" ht="12.75">
      <c r="A40" s="594">
        <v>2</v>
      </c>
      <c r="B40" s="593" t="s">
        <v>470</v>
      </c>
      <c r="C40" s="684">
        <v>200</v>
      </c>
    </row>
    <row r="41" spans="1:3" ht="12.75">
      <c r="A41" s="594">
        <v>3</v>
      </c>
      <c r="B41" s="593" t="s">
        <v>471</v>
      </c>
      <c r="C41" s="684">
        <v>200</v>
      </c>
    </row>
    <row r="42" spans="1:3" ht="13.5" thickBot="1">
      <c r="A42" s="679">
        <v>4</v>
      </c>
      <c r="B42" s="680" t="s">
        <v>472</v>
      </c>
      <c r="C42" s="686">
        <v>100</v>
      </c>
    </row>
    <row r="43" spans="1:3" ht="13.5" thickBot="1">
      <c r="A43" s="693">
        <v>5</v>
      </c>
      <c r="B43" s="694" t="s">
        <v>35</v>
      </c>
      <c r="C43" s="697">
        <f>SUM(C39:C42)</f>
        <v>800</v>
      </c>
    </row>
  </sheetData>
  <sheetProtection sheet="1"/>
  <printOptions horizontalCentered="1"/>
  <pageMargins left="0.5905511811023623" right="0.5905511811023623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2008. évi céljellegű támogatásokról&amp;R&amp;"Times New Roman CE,Félkövér dőlt"&amp;11 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14"/>
  <sheetViews>
    <sheetView zoomScale="110" zoomScaleNormal="110" zoomScalePageLayoutView="0" workbookViewId="0" topLeftCell="C7">
      <selection activeCell="M109" sqref="M109"/>
    </sheetView>
  </sheetViews>
  <sheetFormatPr defaultColWidth="9.00390625" defaultRowHeight="12.75"/>
  <cols>
    <col min="1" max="1" width="4.875" style="3" customWidth="1"/>
    <col min="2" max="4" width="10.625" style="4" customWidth="1"/>
    <col min="5" max="5" width="9.875" style="4" customWidth="1"/>
    <col min="6" max="6" width="12.50390625" style="4" customWidth="1"/>
    <col min="7" max="7" width="11.50390625" style="4" customWidth="1"/>
    <col min="8" max="8" width="13.00390625" style="4" customWidth="1"/>
    <col min="9" max="9" width="12.50390625" style="4" customWidth="1"/>
    <col min="10" max="10" width="11.50390625" style="4" customWidth="1"/>
    <col min="11" max="11" width="11.875" style="4" customWidth="1"/>
    <col min="12" max="12" width="12.125" style="4" customWidth="1"/>
    <col min="13" max="13" width="12.50390625" style="4" customWidth="1"/>
    <col min="14" max="14" width="11.50390625" style="4" customWidth="1"/>
    <col min="15" max="16384" width="9.375" style="4" customWidth="1"/>
  </cols>
  <sheetData>
    <row r="1" spans="1:14" s="112" customFormat="1" ht="15.75">
      <c r="A1" s="919"/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5.75" customHeight="1" thickBot="1">
      <c r="A2" s="295"/>
      <c r="B2" s="295"/>
      <c r="C2" s="295"/>
      <c r="D2" s="295"/>
      <c r="E2" s="295"/>
      <c r="F2" s="296"/>
      <c r="G2" s="296"/>
      <c r="H2" s="297"/>
      <c r="I2" s="296"/>
      <c r="J2" s="296"/>
      <c r="K2" s="297"/>
      <c r="L2" s="298"/>
      <c r="M2" s="299"/>
      <c r="N2" s="300"/>
    </row>
    <row r="3" spans="1:14" ht="13.5" thickTop="1">
      <c r="A3" s="920" t="s">
        <v>248</v>
      </c>
      <c r="B3" s="922" t="s">
        <v>249</v>
      </c>
      <c r="C3" s="922"/>
      <c r="D3" s="922"/>
      <c r="E3" s="923"/>
      <c r="F3" s="926" t="s">
        <v>250</v>
      </c>
      <c r="G3" s="927"/>
      <c r="H3" s="928"/>
      <c r="I3" s="902" t="s">
        <v>251</v>
      </c>
      <c r="J3" s="903"/>
      <c r="K3" s="903"/>
      <c r="L3" s="903"/>
      <c r="M3" s="903"/>
      <c r="N3" s="904"/>
    </row>
    <row r="4" spans="1:14" ht="13.5" thickBot="1">
      <c r="A4" s="921"/>
      <c r="B4" s="924"/>
      <c r="C4" s="924"/>
      <c r="D4" s="924"/>
      <c r="E4" s="925"/>
      <c r="F4" s="905"/>
      <c r="G4" s="906"/>
      <c r="H4" s="901"/>
      <c r="I4" s="897" t="s">
        <v>50</v>
      </c>
      <c r="J4" s="898"/>
      <c r="K4" s="899"/>
      <c r="L4" s="900" t="s">
        <v>252</v>
      </c>
      <c r="M4" s="929"/>
      <c r="N4" s="930"/>
    </row>
    <row r="5" spans="1:14" s="106" customFormat="1" ht="12.75" customHeight="1" thickTop="1">
      <c r="A5" s="921"/>
      <c r="B5" s="924"/>
      <c r="C5" s="924"/>
      <c r="D5" s="924"/>
      <c r="E5" s="925"/>
      <c r="F5" s="931" t="s">
        <v>253</v>
      </c>
      <c r="G5" s="934" t="s">
        <v>265</v>
      </c>
      <c r="H5" s="937" t="s">
        <v>266</v>
      </c>
      <c r="I5" s="945" t="s">
        <v>253</v>
      </c>
      <c r="J5" s="934" t="s">
        <v>265</v>
      </c>
      <c r="K5" s="937" t="s">
        <v>266</v>
      </c>
      <c r="L5" s="945" t="s">
        <v>253</v>
      </c>
      <c r="M5" s="934" t="s">
        <v>265</v>
      </c>
      <c r="N5" s="937" t="s">
        <v>266</v>
      </c>
    </row>
    <row r="6" spans="1:14" s="106" customFormat="1" ht="15.75" customHeight="1">
      <c r="A6" s="921"/>
      <c r="B6" s="924"/>
      <c r="C6" s="924"/>
      <c r="D6" s="924"/>
      <c r="E6" s="925"/>
      <c r="F6" s="932"/>
      <c r="G6" s="935"/>
      <c r="H6" s="938"/>
      <c r="I6" s="946"/>
      <c r="J6" s="935"/>
      <c r="K6" s="938"/>
      <c r="L6" s="946"/>
      <c r="M6" s="935"/>
      <c r="N6" s="938"/>
    </row>
    <row r="7" spans="1:14" s="114" customFormat="1" ht="12" customHeight="1" thickBot="1">
      <c r="A7" s="921"/>
      <c r="B7" s="940"/>
      <c r="C7" s="941"/>
      <c r="D7" s="941"/>
      <c r="E7" s="942"/>
      <c r="F7" s="933"/>
      <c r="G7" s="936"/>
      <c r="H7" s="939"/>
      <c r="I7" s="947"/>
      <c r="J7" s="936"/>
      <c r="K7" s="939"/>
      <c r="L7" s="947"/>
      <c r="M7" s="936"/>
      <c r="N7" s="939"/>
    </row>
    <row r="8" spans="1:14" s="115" customFormat="1" ht="12" customHeight="1" thickTop="1">
      <c r="A8" s="921"/>
      <c r="B8" s="943" t="s">
        <v>3</v>
      </c>
      <c r="C8" s="943"/>
      <c r="D8" s="943"/>
      <c r="E8" s="944"/>
      <c r="F8" s="361" t="s">
        <v>4</v>
      </c>
      <c r="G8" s="358" t="s">
        <v>6</v>
      </c>
      <c r="H8" s="360" t="s">
        <v>7</v>
      </c>
      <c r="I8" s="372" t="s">
        <v>8</v>
      </c>
      <c r="J8" s="363" t="s">
        <v>10</v>
      </c>
      <c r="K8" s="359" t="s">
        <v>11</v>
      </c>
      <c r="L8" s="360" t="s">
        <v>12</v>
      </c>
      <c r="M8" s="363" t="s">
        <v>14</v>
      </c>
      <c r="N8" s="359" t="s">
        <v>15</v>
      </c>
    </row>
    <row r="9" spans="1:14" s="115" customFormat="1" ht="12" customHeight="1">
      <c r="A9" s="301" t="s">
        <v>3</v>
      </c>
      <c r="B9" s="948" t="s">
        <v>270</v>
      </c>
      <c r="C9" s="949"/>
      <c r="D9" s="949"/>
      <c r="E9" s="950"/>
      <c r="F9" s="799">
        <f aca="true" t="shared" si="0" ref="F9:H12">I9+L9+F48+I48+L48+F84+I84+L84+F118+I118</f>
        <v>2896</v>
      </c>
      <c r="G9" s="303">
        <f t="shared" si="0"/>
        <v>4344</v>
      </c>
      <c r="H9" s="353">
        <f t="shared" si="0"/>
        <v>894</v>
      </c>
      <c r="I9" s="304">
        <v>1936</v>
      </c>
      <c r="J9" s="305">
        <v>2992</v>
      </c>
      <c r="K9" s="306">
        <v>674</v>
      </c>
      <c r="L9" s="365">
        <v>739</v>
      </c>
      <c r="M9" s="307">
        <v>1081</v>
      </c>
      <c r="N9" s="308">
        <v>220</v>
      </c>
    </row>
    <row r="10" spans="1:14" s="115" customFormat="1" ht="12" customHeight="1">
      <c r="A10" s="301" t="s">
        <v>4</v>
      </c>
      <c r="B10" s="948" t="s">
        <v>255</v>
      </c>
      <c r="C10" s="953"/>
      <c r="D10" s="953"/>
      <c r="E10" s="954"/>
      <c r="F10" s="799">
        <f t="shared" si="0"/>
        <v>211170</v>
      </c>
      <c r="G10" s="303">
        <f t="shared" si="0"/>
        <v>361000</v>
      </c>
      <c r="H10" s="353">
        <f t="shared" si="0"/>
        <v>0</v>
      </c>
      <c r="I10" s="304"/>
      <c r="J10" s="305"/>
      <c r="K10" s="306"/>
      <c r="L10" s="365"/>
      <c r="M10" s="307"/>
      <c r="N10" s="308"/>
    </row>
    <row r="11" spans="1:14" s="115" customFormat="1" ht="12" customHeight="1">
      <c r="A11" s="301" t="s">
        <v>5</v>
      </c>
      <c r="B11" s="948" t="s">
        <v>271</v>
      </c>
      <c r="C11" s="949"/>
      <c r="D11" s="949"/>
      <c r="E11" s="950"/>
      <c r="F11" s="799">
        <f t="shared" si="0"/>
        <v>34830</v>
      </c>
      <c r="G11" s="303">
        <f t="shared" si="0"/>
        <v>43320</v>
      </c>
      <c r="H11" s="353">
        <f>K11+N11+H50+K50+N50+H86+K86+N86+H120+K120</f>
        <v>25760</v>
      </c>
      <c r="I11" s="304">
        <v>13051</v>
      </c>
      <c r="J11" s="305">
        <v>13650</v>
      </c>
      <c r="K11" s="306">
        <f>11376-42</f>
        <v>11334</v>
      </c>
      <c r="L11" s="365">
        <v>4380</v>
      </c>
      <c r="M11" s="307">
        <v>4898</v>
      </c>
      <c r="N11" s="308">
        <v>3848</v>
      </c>
    </row>
    <row r="12" spans="1:14" s="114" customFormat="1" ht="12" customHeight="1">
      <c r="A12" s="301" t="s">
        <v>6</v>
      </c>
      <c r="B12" s="948" t="s">
        <v>272</v>
      </c>
      <c r="C12" s="949"/>
      <c r="D12" s="949"/>
      <c r="E12" s="950"/>
      <c r="F12" s="799">
        <f t="shared" si="0"/>
        <v>14070</v>
      </c>
      <c r="G12" s="303">
        <f t="shared" si="0"/>
        <v>15000</v>
      </c>
      <c r="H12" s="353">
        <f t="shared" si="0"/>
        <v>4440</v>
      </c>
      <c r="I12" s="304"/>
      <c r="J12" s="305"/>
      <c r="K12" s="306"/>
      <c r="L12" s="365"/>
      <c r="M12" s="307"/>
      <c r="N12" s="308"/>
    </row>
    <row r="13" spans="1:14" s="114" customFormat="1" ht="12" customHeight="1">
      <c r="A13" s="301" t="s">
        <v>7</v>
      </c>
      <c r="B13" s="948" t="s">
        <v>273</v>
      </c>
      <c r="C13" s="949"/>
      <c r="D13" s="949"/>
      <c r="E13" s="950"/>
      <c r="F13" s="799">
        <f>I13+L13+F52+I52+L52+F88+I88+L88+F122+I122+54453</f>
        <v>575257</v>
      </c>
      <c r="G13" s="303">
        <f>J13+M13+G52+J52+M52+G88+J88+M88+G122+J122+79548+9000</f>
        <v>539394</v>
      </c>
      <c r="H13" s="353">
        <f>K13+N13+H52+K52+N52+H88+K88+N88+H122+K122+9000</f>
        <v>830342</v>
      </c>
      <c r="I13" s="304">
        <v>164029</v>
      </c>
      <c r="J13" s="305">
        <v>140230</v>
      </c>
      <c r="K13" s="306">
        <v>156060</v>
      </c>
      <c r="L13" s="365">
        <v>56669</v>
      </c>
      <c r="M13" s="307">
        <v>49800</v>
      </c>
      <c r="N13" s="308">
        <v>48000</v>
      </c>
    </row>
    <row r="14" spans="1:14" s="114" customFormat="1" ht="12" customHeight="1">
      <c r="A14" s="301" t="s">
        <v>8</v>
      </c>
      <c r="B14" s="948" t="s">
        <v>274</v>
      </c>
      <c r="C14" s="951"/>
      <c r="D14" s="951"/>
      <c r="E14" s="952"/>
      <c r="F14" s="799">
        <f aca="true" t="shared" si="1" ref="F14:H16">I14+L14+F53+I53+L53+F89+I89+L89+F123+I123</f>
        <v>14955</v>
      </c>
      <c r="G14" s="303">
        <f t="shared" si="1"/>
        <v>19983</v>
      </c>
      <c r="H14" s="353">
        <f t="shared" si="1"/>
        <v>13960</v>
      </c>
      <c r="I14" s="304"/>
      <c r="J14" s="305"/>
      <c r="K14" s="306"/>
      <c r="L14" s="365"/>
      <c r="M14" s="307"/>
      <c r="N14" s="308"/>
    </row>
    <row r="15" spans="1:14" s="115" customFormat="1" ht="12" customHeight="1">
      <c r="A15" s="301" t="s">
        <v>9</v>
      </c>
      <c r="B15" s="948" t="s">
        <v>57</v>
      </c>
      <c r="C15" s="953"/>
      <c r="D15" s="953"/>
      <c r="E15" s="954"/>
      <c r="F15" s="799">
        <f t="shared" si="1"/>
        <v>27400</v>
      </c>
      <c r="G15" s="303">
        <f t="shared" si="1"/>
        <v>27600</v>
      </c>
      <c r="H15" s="353">
        <f t="shared" si="1"/>
        <v>33600</v>
      </c>
      <c r="I15" s="304"/>
      <c r="J15" s="305"/>
      <c r="K15" s="306"/>
      <c r="L15" s="365"/>
      <c r="M15" s="307"/>
      <c r="N15" s="308"/>
    </row>
    <row r="16" spans="1:14" s="115" customFormat="1" ht="12" customHeight="1">
      <c r="A16" s="301" t="s">
        <v>10</v>
      </c>
      <c r="B16" s="1008" t="s">
        <v>275</v>
      </c>
      <c r="C16" s="1009"/>
      <c r="D16" s="1009"/>
      <c r="E16" s="1010"/>
      <c r="F16" s="799">
        <f t="shared" si="1"/>
        <v>293224</v>
      </c>
      <c r="G16" s="303">
        <f t="shared" si="1"/>
        <v>315647</v>
      </c>
      <c r="H16" s="353">
        <f t="shared" si="1"/>
        <v>303535</v>
      </c>
      <c r="I16" s="304"/>
      <c r="J16" s="305"/>
      <c r="K16" s="306"/>
      <c r="L16" s="365"/>
      <c r="M16" s="307"/>
      <c r="N16" s="308"/>
    </row>
    <row r="17" spans="1:14" s="114" customFormat="1" ht="12" customHeight="1">
      <c r="A17" s="301" t="s">
        <v>11</v>
      </c>
      <c r="B17" s="948" t="s">
        <v>276</v>
      </c>
      <c r="C17" s="953"/>
      <c r="D17" s="953"/>
      <c r="E17" s="954"/>
      <c r="F17" s="799">
        <f aca="true" t="shared" si="2" ref="F17:F29">I17+L17+F56+I56+L56+F92+I92+L92+F126+I126</f>
        <v>0</v>
      </c>
      <c r="G17" s="303">
        <v>106018</v>
      </c>
      <c r="H17" s="353">
        <f aca="true" t="shared" si="3" ref="H17:H29">K17+N17+H56+K56+N56+H92+K92+N92+H126+K126</f>
        <v>0</v>
      </c>
      <c r="I17" s="304"/>
      <c r="J17" s="305"/>
      <c r="K17" s="306"/>
      <c r="L17" s="365"/>
      <c r="M17" s="307"/>
      <c r="N17" s="308"/>
    </row>
    <row r="18" spans="1:14" s="115" customFormat="1" ht="12" customHeight="1">
      <c r="A18" s="301" t="s">
        <v>12</v>
      </c>
      <c r="B18" s="948" t="s">
        <v>256</v>
      </c>
      <c r="C18" s="951"/>
      <c r="D18" s="951"/>
      <c r="E18" s="952"/>
      <c r="F18" s="799">
        <f t="shared" si="2"/>
        <v>115766</v>
      </c>
      <c r="G18" s="303">
        <f aca="true" t="shared" si="4" ref="G18:G28">J18+M18+G57+J57+M57+G93+J93+M93+G127+J127</f>
        <v>120184</v>
      </c>
      <c r="H18" s="353">
        <f t="shared" si="3"/>
        <v>131684</v>
      </c>
      <c r="I18" s="304">
        <v>73516</v>
      </c>
      <c r="J18" s="305">
        <v>79035</v>
      </c>
      <c r="K18" s="306">
        <f>83539-279</f>
        <v>83260</v>
      </c>
      <c r="L18" s="365">
        <v>24493</v>
      </c>
      <c r="M18" s="307">
        <v>24640</v>
      </c>
      <c r="N18" s="308">
        <v>26344</v>
      </c>
    </row>
    <row r="19" spans="1:14" s="115" customFormat="1" ht="12" customHeight="1">
      <c r="A19" s="301" t="s">
        <v>13</v>
      </c>
      <c r="B19" s="948" t="s">
        <v>277</v>
      </c>
      <c r="C19" s="951"/>
      <c r="D19" s="951"/>
      <c r="E19" s="952"/>
      <c r="F19" s="799">
        <f t="shared" si="2"/>
        <v>24445</v>
      </c>
      <c r="G19" s="303">
        <f t="shared" si="4"/>
        <v>24410</v>
      </c>
      <c r="H19" s="353">
        <f t="shared" si="3"/>
        <v>35176</v>
      </c>
      <c r="I19" s="304">
        <v>1397</v>
      </c>
      <c r="J19" s="305">
        <v>1183</v>
      </c>
      <c r="K19" s="306">
        <v>247</v>
      </c>
      <c r="L19" s="365">
        <v>431</v>
      </c>
      <c r="M19" s="307">
        <v>463</v>
      </c>
      <c r="N19" s="308">
        <v>85</v>
      </c>
    </row>
    <row r="20" spans="1:14" s="115" customFormat="1" ht="12" customHeight="1">
      <c r="A20" s="301" t="s">
        <v>14</v>
      </c>
      <c r="B20" s="948" t="s">
        <v>257</v>
      </c>
      <c r="C20" s="951"/>
      <c r="D20" s="951"/>
      <c r="E20" s="952"/>
      <c r="F20" s="799">
        <f t="shared" si="2"/>
        <v>4332</v>
      </c>
      <c r="G20" s="303">
        <f t="shared" si="4"/>
        <v>4448</v>
      </c>
      <c r="H20" s="353">
        <f t="shared" si="3"/>
        <v>3924</v>
      </c>
      <c r="I20" s="304">
        <v>3055</v>
      </c>
      <c r="J20" s="305">
        <v>3015</v>
      </c>
      <c r="K20" s="306">
        <v>2541</v>
      </c>
      <c r="L20" s="365">
        <v>871</v>
      </c>
      <c r="M20" s="307">
        <v>918</v>
      </c>
      <c r="N20" s="308">
        <v>788</v>
      </c>
    </row>
    <row r="21" spans="1:14" s="115" customFormat="1" ht="12" customHeight="1">
      <c r="A21" s="301" t="s">
        <v>15</v>
      </c>
      <c r="B21" s="948" t="s">
        <v>258</v>
      </c>
      <c r="C21" s="953"/>
      <c r="D21" s="953"/>
      <c r="E21" s="954"/>
      <c r="F21" s="799">
        <f t="shared" si="2"/>
        <v>13389</v>
      </c>
      <c r="G21" s="303">
        <f t="shared" si="4"/>
        <v>14430</v>
      </c>
      <c r="H21" s="353">
        <f t="shared" si="3"/>
        <v>14487</v>
      </c>
      <c r="I21" s="304">
        <v>9588</v>
      </c>
      <c r="J21" s="305">
        <v>10270</v>
      </c>
      <c r="K21" s="306">
        <v>10429</v>
      </c>
      <c r="L21" s="365">
        <v>3152</v>
      </c>
      <c r="M21" s="307">
        <v>3328</v>
      </c>
      <c r="N21" s="308">
        <v>3326</v>
      </c>
    </row>
    <row r="22" spans="1:14" s="115" customFormat="1" ht="12" customHeight="1">
      <c r="A22" s="301" t="s">
        <v>16</v>
      </c>
      <c r="B22" s="948" t="s">
        <v>278</v>
      </c>
      <c r="C22" s="953"/>
      <c r="D22" s="953"/>
      <c r="E22" s="954"/>
      <c r="F22" s="799">
        <f t="shared" si="2"/>
        <v>4682</v>
      </c>
      <c r="G22" s="303">
        <f t="shared" si="4"/>
        <v>4400</v>
      </c>
      <c r="H22" s="353">
        <f t="shared" si="3"/>
        <v>3000</v>
      </c>
      <c r="I22" s="304"/>
      <c r="J22" s="305"/>
      <c r="K22" s="306"/>
      <c r="L22" s="365"/>
      <c r="M22" s="307"/>
      <c r="N22" s="308"/>
    </row>
    <row r="23" spans="1:14" s="115" customFormat="1" ht="12" customHeight="1">
      <c r="A23" s="301" t="s">
        <v>17</v>
      </c>
      <c r="B23" s="948" t="s">
        <v>259</v>
      </c>
      <c r="C23" s="953"/>
      <c r="D23" s="953"/>
      <c r="E23" s="954"/>
      <c r="F23" s="799">
        <f t="shared" si="2"/>
        <v>3652</v>
      </c>
      <c r="G23" s="303">
        <f t="shared" si="4"/>
        <v>2730</v>
      </c>
      <c r="H23" s="353">
        <f t="shared" si="3"/>
        <v>3000</v>
      </c>
      <c r="I23" s="304">
        <v>531</v>
      </c>
      <c r="J23" s="305">
        <v>308</v>
      </c>
      <c r="K23" s="306">
        <v>360</v>
      </c>
      <c r="L23" s="365">
        <v>193</v>
      </c>
      <c r="M23" s="307">
        <v>22</v>
      </c>
      <c r="N23" s="308"/>
    </row>
    <row r="24" spans="1:14" s="115" customFormat="1" ht="12" customHeight="1">
      <c r="A24" s="301" t="s">
        <v>18</v>
      </c>
      <c r="B24" s="948" t="s">
        <v>279</v>
      </c>
      <c r="C24" s="953"/>
      <c r="D24" s="953"/>
      <c r="E24" s="954"/>
      <c r="F24" s="799">
        <f t="shared" si="2"/>
        <v>18338</v>
      </c>
      <c r="G24" s="303">
        <f t="shared" si="4"/>
        <v>23358</v>
      </c>
      <c r="H24" s="353">
        <f t="shared" si="3"/>
        <v>29240</v>
      </c>
      <c r="I24" s="304"/>
      <c r="J24" s="305"/>
      <c r="K24" s="306"/>
      <c r="L24" s="365">
        <v>2705</v>
      </c>
      <c r="M24" s="307">
        <v>3552</v>
      </c>
      <c r="N24" s="308">
        <v>5000</v>
      </c>
    </row>
    <row r="25" spans="1:14" s="115" customFormat="1" ht="12" customHeight="1">
      <c r="A25" s="301" t="s">
        <v>19</v>
      </c>
      <c r="B25" s="948" t="s">
        <v>280</v>
      </c>
      <c r="C25" s="953"/>
      <c r="D25" s="953"/>
      <c r="E25" s="954"/>
      <c r="F25" s="799">
        <f t="shared" si="2"/>
        <v>6579</v>
      </c>
      <c r="G25" s="303">
        <f t="shared" si="4"/>
        <v>4150</v>
      </c>
      <c r="H25" s="353">
        <f t="shared" si="3"/>
        <v>3500</v>
      </c>
      <c r="I25" s="304"/>
      <c r="J25" s="305"/>
      <c r="K25" s="306"/>
      <c r="L25" s="365"/>
      <c r="M25" s="307"/>
      <c r="N25" s="308"/>
    </row>
    <row r="26" spans="1:14" s="115" customFormat="1" ht="12" customHeight="1">
      <c r="A26" s="301" t="s">
        <v>20</v>
      </c>
      <c r="B26" s="1008" t="s">
        <v>281</v>
      </c>
      <c r="C26" s="1009"/>
      <c r="D26" s="1009"/>
      <c r="E26" s="1010"/>
      <c r="F26" s="799">
        <f t="shared" si="2"/>
        <v>16751</v>
      </c>
      <c r="G26" s="303">
        <f t="shared" si="4"/>
        <v>1500</v>
      </c>
      <c r="H26" s="353">
        <f t="shared" si="3"/>
        <v>2800</v>
      </c>
      <c r="I26" s="304"/>
      <c r="J26" s="305"/>
      <c r="K26" s="306"/>
      <c r="L26" s="365"/>
      <c r="M26" s="307"/>
      <c r="N26" s="308"/>
    </row>
    <row r="27" spans="1:14" s="114" customFormat="1" ht="12" customHeight="1">
      <c r="A27" s="301" t="s">
        <v>21</v>
      </c>
      <c r="B27" s="1008" t="s">
        <v>260</v>
      </c>
      <c r="C27" s="1011"/>
      <c r="D27" s="1011"/>
      <c r="E27" s="1012"/>
      <c r="F27" s="799">
        <f t="shared" si="2"/>
        <v>12485</v>
      </c>
      <c r="G27" s="303">
        <f t="shared" si="4"/>
        <v>31100</v>
      </c>
      <c r="H27" s="353">
        <f t="shared" si="3"/>
        <v>17260</v>
      </c>
      <c r="I27" s="304"/>
      <c r="J27" s="305"/>
      <c r="K27" s="306"/>
      <c r="L27" s="365"/>
      <c r="M27" s="307"/>
      <c r="N27" s="308"/>
    </row>
    <row r="28" spans="1:14" s="115" customFormat="1" ht="12" customHeight="1">
      <c r="A28" s="301" t="s">
        <v>22</v>
      </c>
      <c r="B28" s="948" t="s">
        <v>282</v>
      </c>
      <c r="C28" s="953"/>
      <c r="D28" s="953"/>
      <c r="E28" s="954"/>
      <c r="F28" s="799">
        <f t="shared" si="2"/>
        <v>2249</v>
      </c>
      <c r="G28" s="303">
        <f t="shared" si="4"/>
        <v>3250</v>
      </c>
      <c r="H28" s="353">
        <f t="shared" si="3"/>
        <v>1800</v>
      </c>
      <c r="I28" s="304"/>
      <c r="J28" s="305"/>
      <c r="K28" s="306"/>
      <c r="L28" s="365"/>
      <c r="M28" s="307"/>
      <c r="N28" s="308"/>
    </row>
    <row r="29" spans="1:14" s="115" customFormat="1" ht="12" customHeight="1">
      <c r="A29" s="301" t="s">
        <v>23</v>
      </c>
      <c r="B29" s="948" t="s">
        <v>254</v>
      </c>
      <c r="C29" s="953"/>
      <c r="D29" s="953"/>
      <c r="E29" s="954"/>
      <c r="F29" s="799">
        <f t="shared" si="2"/>
        <v>10058</v>
      </c>
      <c r="G29" s="303">
        <f>J29+M29+G68+J68+M68+G104+J104+M104+G138+J138+L138</f>
        <v>9304</v>
      </c>
      <c r="H29" s="353">
        <f t="shared" si="3"/>
        <v>11678</v>
      </c>
      <c r="I29" s="304">
        <v>5775</v>
      </c>
      <c r="J29" s="305">
        <v>4995</v>
      </c>
      <c r="K29" s="306">
        <v>5733</v>
      </c>
      <c r="L29" s="365">
        <v>1924</v>
      </c>
      <c r="M29" s="307">
        <v>1602</v>
      </c>
      <c r="N29" s="308">
        <v>1835</v>
      </c>
    </row>
    <row r="30" spans="1:14" s="115" customFormat="1" ht="12" customHeight="1">
      <c r="A30" s="301" t="s">
        <v>24</v>
      </c>
      <c r="B30" s="948" t="s">
        <v>383</v>
      </c>
      <c r="C30" s="953"/>
      <c r="D30" s="953"/>
      <c r="E30" s="954"/>
      <c r="F30" s="799">
        <f>479+2170+2089+16897</f>
        <v>21635</v>
      </c>
      <c r="G30" s="303"/>
      <c r="H30" s="353"/>
      <c r="I30" s="304"/>
      <c r="J30" s="305"/>
      <c r="K30" s="306"/>
      <c r="L30" s="365"/>
      <c r="M30" s="307"/>
      <c r="N30" s="308"/>
    </row>
    <row r="31" spans="1:14" s="115" customFormat="1" ht="12" customHeight="1" thickBot="1">
      <c r="A31" s="301" t="s">
        <v>25</v>
      </c>
      <c r="B31" s="977" t="s">
        <v>384</v>
      </c>
      <c r="C31" s="978"/>
      <c r="D31" s="978"/>
      <c r="E31" s="979"/>
      <c r="F31" s="800">
        <f>4494-15511</f>
        <v>-11017</v>
      </c>
      <c r="G31" s="362"/>
      <c r="H31" s="353"/>
      <c r="I31" s="373"/>
      <c r="J31" s="364"/>
      <c r="K31" s="310"/>
      <c r="L31" s="366"/>
      <c r="M31" s="367"/>
      <c r="N31" s="311"/>
    </row>
    <row r="32" spans="1:14" s="115" customFormat="1" ht="12" customHeight="1" thickBot="1" thickTop="1">
      <c r="A32" s="312" t="s">
        <v>27</v>
      </c>
      <c r="B32" s="313" t="s">
        <v>261</v>
      </c>
      <c r="C32" s="314"/>
      <c r="D32" s="314"/>
      <c r="E32" s="315"/>
      <c r="F32" s="316">
        <f aca="true" t="shared" si="5" ref="F32:N32">SUM(F9:F31)</f>
        <v>1417146</v>
      </c>
      <c r="G32" s="317">
        <f t="shared" si="5"/>
        <v>1675570</v>
      </c>
      <c r="H32" s="318">
        <f t="shared" si="5"/>
        <v>1470080</v>
      </c>
      <c r="I32" s="319">
        <f t="shared" si="5"/>
        <v>272878</v>
      </c>
      <c r="J32" s="317">
        <f>SUM(J9:J31)</f>
        <v>255678</v>
      </c>
      <c r="K32" s="318">
        <f t="shared" si="5"/>
        <v>270638</v>
      </c>
      <c r="L32" s="320">
        <f t="shared" si="5"/>
        <v>95557</v>
      </c>
      <c r="M32" s="317">
        <f t="shared" si="5"/>
        <v>90304</v>
      </c>
      <c r="N32" s="318">
        <f t="shared" si="5"/>
        <v>89446</v>
      </c>
    </row>
    <row r="33" spans="1:14" s="115" customFormat="1" ht="12" customHeight="1" thickBot="1" thickTop="1">
      <c r="A33" s="321"/>
      <c r="B33" s="1013"/>
      <c r="C33" s="1014"/>
      <c r="D33" s="1014"/>
      <c r="E33" s="1015"/>
      <c r="F33" s="322"/>
      <c r="G33" s="323"/>
      <c r="H33" s="324"/>
      <c r="I33" s="325"/>
      <c r="J33" s="326"/>
      <c r="K33" s="327"/>
      <c r="L33" s="328"/>
      <c r="M33" s="329"/>
      <c r="N33" s="330"/>
    </row>
    <row r="34" spans="1:14" s="115" customFormat="1" ht="12" customHeight="1" thickBot="1" thickTop="1">
      <c r="A34" s="331" t="s">
        <v>28</v>
      </c>
      <c r="B34" s="1016" t="s">
        <v>262</v>
      </c>
      <c r="C34" s="1017"/>
      <c r="D34" s="1017"/>
      <c r="E34" s="1018"/>
      <c r="F34" s="332">
        <f>SUM(F32:F33)</f>
        <v>1417146</v>
      </c>
      <c r="G34" s="333">
        <f aca="true" t="shared" si="6" ref="G34:N34">SUM(G32:G33)</f>
        <v>1675570</v>
      </c>
      <c r="H34" s="334">
        <f t="shared" si="6"/>
        <v>1470080</v>
      </c>
      <c r="I34" s="332">
        <f t="shared" si="6"/>
        <v>272878</v>
      </c>
      <c r="J34" s="333">
        <f t="shared" si="6"/>
        <v>255678</v>
      </c>
      <c r="K34" s="335">
        <f t="shared" si="6"/>
        <v>270638</v>
      </c>
      <c r="L34" s="336">
        <f t="shared" si="6"/>
        <v>95557</v>
      </c>
      <c r="M34" s="333">
        <f t="shared" si="6"/>
        <v>90304</v>
      </c>
      <c r="N34" s="335">
        <f t="shared" si="6"/>
        <v>89446</v>
      </c>
    </row>
    <row r="35" spans="1:14" s="115" customFormat="1" ht="12" customHeight="1" thickTop="1">
      <c r="A35" s="349"/>
      <c r="B35" s="350"/>
      <c r="C35" s="350"/>
      <c r="D35" s="350"/>
      <c r="E35" s="350"/>
      <c r="F35" s="351"/>
      <c r="G35" s="351"/>
      <c r="H35" s="351"/>
      <c r="I35" s="351"/>
      <c r="J35" s="351"/>
      <c r="K35" s="351"/>
      <c r="L35" s="351"/>
      <c r="M35" s="351"/>
      <c r="N35" s="351"/>
    </row>
    <row r="36" spans="1:14" s="115" customFormat="1" ht="12" customHeight="1">
      <c r="A36" s="349"/>
      <c r="B36" s="350"/>
      <c r="C36" s="350"/>
      <c r="D36" s="350"/>
      <c r="E36" s="350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s="115" customFormat="1" ht="12" customHeight="1">
      <c r="A37" s="349"/>
      <c r="B37" s="350"/>
      <c r="C37" s="350"/>
      <c r="D37" s="350"/>
      <c r="E37" s="350"/>
      <c r="F37" s="351"/>
      <c r="G37" s="351"/>
      <c r="H37" s="351"/>
      <c r="I37" s="351"/>
      <c r="J37" s="351"/>
      <c r="K37" s="351"/>
      <c r="L37" s="351"/>
      <c r="M37" s="351"/>
      <c r="N37" s="351"/>
    </row>
    <row r="38" s="115" customFormat="1" ht="21" customHeight="1"/>
    <row r="39" s="115" customFormat="1" ht="12" customHeight="1"/>
    <row r="40" s="115" customFormat="1" ht="12" customHeight="1"/>
    <row r="41" spans="1:10" s="115" customFormat="1" ht="12" customHeight="1">
      <c r="A41" s="356"/>
      <c r="B41" s="1019"/>
      <c r="C41" s="1019"/>
      <c r="D41" s="1019"/>
      <c r="E41" s="1019"/>
      <c r="F41" s="1019"/>
      <c r="G41" s="1019"/>
      <c r="H41" s="1019"/>
      <c r="I41" s="1019"/>
      <c r="J41" s="1019"/>
    </row>
    <row r="42" spans="1:10" s="115" customFormat="1" ht="12" customHeight="1" thickBot="1">
      <c r="A42" s="356"/>
      <c r="B42" s="1019"/>
      <c r="C42" s="1019"/>
      <c r="D42" s="1019"/>
      <c r="E42" s="1020"/>
      <c r="F42" s="1020"/>
      <c r="G42" s="1020"/>
      <c r="H42" s="1020"/>
      <c r="I42" s="1020"/>
      <c r="J42" s="1020"/>
    </row>
    <row r="43" spans="1:23" s="115" customFormat="1" ht="12" customHeight="1" thickTop="1">
      <c r="A43" s="920" t="s">
        <v>248</v>
      </c>
      <c r="B43" s="922" t="s">
        <v>249</v>
      </c>
      <c r="C43" s="922"/>
      <c r="D43" s="922"/>
      <c r="E43" s="923"/>
      <c r="F43" s="955" t="s">
        <v>251</v>
      </c>
      <c r="G43" s="956"/>
      <c r="H43" s="956"/>
      <c r="I43" s="956"/>
      <c r="J43" s="956"/>
      <c r="K43" s="956"/>
      <c r="L43" s="956"/>
      <c r="M43" s="956"/>
      <c r="N43" s="957"/>
      <c r="O43" s="1019"/>
      <c r="P43" s="1019"/>
      <c r="Q43" s="1019"/>
      <c r="R43" s="1019"/>
      <c r="S43" s="1019"/>
      <c r="T43" s="1019"/>
      <c r="U43" s="1019"/>
      <c r="V43" s="1019"/>
      <c r="W43" s="1019"/>
    </row>
    <row r="44" spans="1:23" s="115" customFormat="1" ht="12" customHeight="1" thickBot="1">
      <c r="A44" s="921"/>
      <c r="B44" s="924"/>
      <c r="C44" s="924"/>
      <c r="D44" s="924"/>
      <c r="E44" s="925"/>
      <c r="F44" s="958" t="s">
        <v>173</v>
      </c>
      <c r="G44" s="959"/>
      <c r="H44" s="960"/>
      <c r="I44" s="961" t="s">
        <v>174</v>
      </c>
      <c r="J44" s="962"/>
      <c r="K44" s="963"/>
      <c r="L44" s="961" t="s">
        <v>175</v>
      </c>
      <c r="M44" s="962"/>
      <c r="N44" s="963"/>
      <c r="O44" s="1019"/>
      <c r="P44" s="1019"/>
      <c r="Q44" s="1019"/>
      <c r="R44" s="1020"/>
      <c r="S44" s="1020"/>
      <c r="T44" s="1020"/>
      <c r="U44" s="1020"/>
      <c r="V44" s="1020"/>
      <c r="W44" s="1020"/>
    </row>
    <row r="45" spans="1:23" s="115" customFormat="1" ht="12" customHeight="1" thickTop="1">
      <c r="A45" s="921"/>
      <c r="B45" s="924"/>
      <c r="C45" s="924"/>
      <c r="D45" s="924"/>
      <c r="E45" s="925"/>
      <c r="F45" s="931" t="s">
        <v>253</v>
      </c>
      <c r="G45" s="934" t="s">
        <v>265</v>
      </c>
      <c r="H45" s="937" t="s">
        <v>266</v>
      </c>
      <c r="I45" s="945" t="s">
        <v>253</v>
      </c>
      <c r="J45" s="934" t="s">
        <v>265</v>
      </c>
      <c r="K45" s="937" t="s">
        <v>266</v>
      </c>
      <c r="L45" s="945" t="s">
        <v>253</v>
      </c>
      <c r="M45" s="934" t="s">
        <v>265</v>
      </c>
      <c r="N45" s="937" t="s">
        <v>266</v>
      </c>
      <c r="O45" s="1021"/>
      <c r="P45" s="1021"/>
      <c r="Q45" s="1021"/>
      <c r="R45" s="1021"/>
      <c r="S45" s="1021"/>
      <c r="T45" s="1021"/>
      <c r="U45" s="1021"/>
      <c r="V45" s="1021"/>
      <c r="W45" s="1021"/>
    </row>
    <row r="46" spans="1:23" s="115" customFormat="1" ht="12" customHeight="1">
      <c r="A46" s="921"/>
      <c r="B46" s="924"/>
      <c r="C46" s="924"/>
      <c r="D46" s="924"/>
      <c r="E46" s="925"/>
      <c r="F46" s="932"/>
      <c r="G46" s="935"/>
      <c r="H46" s="938"/>
      <c r="I46" s="946"/>
      <c r="J46" s="935"/>
      <c r="K46" s="938"/>
      <c r="L46" s="946"/>
      <c r="M46" s="935"/>
      <c r="N46" s="938"/>
      <c r="O46" s="1022"/>
      <c r="P46" s="1021"/>
      <c r="Q46" s="1022"/>
      <c r="R46" s="1022"/>
      <c r="S46" s="1021"/>
      <c r="T46" s="1022"/>
      <c r="U46" s="1022"/>
      <c r="V46" s="1021"/>
      <c r="W46" s="1022"/>
    </row>
    <row r="47" spans="1:23" s="115" customFormat="1" ht="12" customHeight="1" thickBot="1">
      <c r="A47" s="921"/>
      <c r="B47" s="940"/>
      <c r="C47" s="941"/>
      <c r="D47" s="941"/>
      <c r="E47" s="942"/>
      <c r="F47" s="933"/>
      <c r="G47" s="936"/>
      <c r="H47" s="939"/>
      <c r="I47" s="947"/>
      <c r="J47" s="936"/>
      <c r="K47" s="939"/>
      <c r="L47" s="947"/>
      <c r="M47" s="936"/>
      <c r="N47" s="939"/>
      <c r="O47" s="1022"/>
      <c r="P47" s="1023"/>
      <c r="Q47" s="1022"/>
      <c r="R47" s="1022"/>
      <c r="S47" s="1023"/>
      <c r="T47" s="1022"/>
      <c r="U47" s="1022"/>
      <c r="V47" s="1023"/>
      <c r="W47" s="1022"/>
    </row>
    <row r="48" spans="1:23" s="115" customFormat="1" ht="12" customHeight="1" thickTop="1">
      <c r="A48" s="301" t="s">
        <v>3</v>
      </c>
      <c r="B48" s="948" t="s">
        <v>270</v>
      </c>
      <c r="C48" s="949"/>
      <c r="D48" s="949"/>
      <c r="E48" s="950"/>
      <c r="F48" s="340">
        <v>114</v>
      </c>
      <c r="G48" s="368">
        <v>115</v>
      </c>
      <c r="H48" s="339"/>
      <c r="I48" s="340">
        <v>70</v>
      </c>
      <c r="J48" s="338">
        <v>100</v>
      </c>
      <c r="K48" s="340"/>
      <c r="L48" s="370">
        <v>37</v>
      </c>
      <c r="M48" s="337">
        <v>56</v>
      </c>
      <c r="N48" s="339"/>
      <c r="O48" s="354"/>
      <c r="P48" s="354"/>
      <c r="Q48" s="354"/>
      <c r="R48" s="354"/>
      <c r="S48" s="354"/>
      <c r="T48" s="354"/>
      <c r="U48" s="354"/>
      <c r="V48" s="354"/>
      <c r="W48" s="354"/>
    </row>
    <row r="49" spans="1:23" s="115" customFormat="1" ht="12" customHeight="1">
      <c r="A49" s="301" t="s">
        <v>4</v>
      </c>
      <c r="B49" s="948" t="s">
        <v>255</v>
      </c>
      <c r="C49" s="953"/>
      <c r="D49" s="953"/>
      <c r="E49" s="954"/>
      <c r="F49" s="340"/>
      <c r="G49" s="338"/>
      <c r="H49" s="339"/>
      <c r="I49" s="340"/>
      <c r="J49" s="338"/>
      <c r="K49" s="340"/>
      <c r="L49" s="341"/>
      <c r="M49" s="337"/>
      <c r="N49" s="339"/>
      <c r="O49" s="354"/>
      <c r="P49" s="354"/>
      <c r="Q49" s="354"/>
      <c r="R49" s="354"/>
      <c r="S49" s="354"/>
      <c r="T49" s="354"/>
      <c r="U49" s="354"/>
      <c r="V49" s="354"/>
      <c r="W49" s="354"/>
    </row>
    <row r="50" spans="1:23" s="115" customFormat="1" ht="12" customHeight="1">
      <c r="A50" s="301" t="s">
        <v>5</v>
      </c>
      <c r="B50" s="948" t="s">
        <v>271</v>
      </c>
      <c r="C50" s="949"/>
      <c r="D50" s="949"/>
      <c r="E50" s="950"/>
      <c r="F50" s="340">
        <v>14813</v>
      </c>
      <c r="G50" s="338">
        <v>16275</v>
      </c>
      <c r="H50" s="339">
        <v>8568</v>
      </c>
      <c r="I50" s="340">
        <v>50</v>
      </c>
      <c r="J50" s="338">
        <v>2733</v>
      </c>
      <c r="K50" s="340">
        <v>474</v>
      </c>
      <c r="L50" s="341">
        <v>2536</v>
      </c>
      <c r="M50" s="337">
        <v>4764</v>
      </c>
      <c r="N50" s="339">
        <v>1286</v>
      </c>
      <c r="O50" s="354"/>
      <c r="P50" s="354"/>
      <c r="Q50" s="354"/>
      <c r="R50" s="354"/>
      <c r="S50" s="354"/>
      <c r="T50" s="354"/>
      <c r="U50" s="354"/>
      <c r="V50" s="354"/>
      <c r="W50" s="354"/>
    </row>
    <row r="51" spans="1:23" s="115" customFormat="1" ht="12" customHeight="1">
      <c r="A51" s="301" t="s">
        <v>6</v>
      </c>
      <c r="B51" s="948" t="s">
        <v>272</v>
      </c>
      <c r="C51" s="949"/>
      <c r="D51" s="949"/>
      <c r="E51" s="950"/>
      <c r="F51" s="340">
        <v>249</v>
      </c>
      <c r="G51" s="338">
        <v>417</v>
      </c>
      <c r="H51" s="339">
        <v>700</v>
      </c>
      <c r="I51" s="340">
        <v>11058</v>
      </c>
      <c r="J51" s="338">
        <v>12000</v>
      </c>
      <c r="K51" s="340">
        <v>3000</v>
      </c>
      <c r="L51" s="341">
        <v>2763</v>
      </c>
      <c r="M51" s="337">
        <v>2583</v>
      </c>
      <c r="N51" s="339">
        <v>740</v>
      </c>
      <c r="O51" s="354"/>
      <c r="P51" s="354"/>
      <c r="Q51" s="354"/>
      <c r="R51" s="354"/>
      <c r="S51" s="354"/>
      <c r="T51" s="354"/>
      <c r="U51" s="354"/>
      <c r="V51" s="354"/>
      <c r="W51" s="354"/>
    </row>
    <row r="52" spans="1:23" s="115" customFormat="1" ht="12" customHeight="1">
      <c r="A52" s="301" t="s">
        <v>7</v>
      </c>
      <c r="B52" s="948" t="s">
        <v>273</v>
      </c>
      <c r="C52" s="949"/>
      <c r="D52" s="949"/>
      <c r="E52" s="950"/>
      <c r="F52" s="340">
        <v>11227</v>
      </c>
      <c r="G52" s="338">
        <v>16700</v>
      </c>
      <c r="H52" s="339">
        <v>14950</v>
      </c>
      <c r="I52" s="340">
        <v>33244</v>
      </c>
      <c r="J52" s="338">
        <v>34200</v>
      </c>
      <c r="K52" s="340">
        <v>21880</v>
      </c>
      <c r="L52" s="341">
        <v>27375</v>
      </c>
      <c r="M52" s="337">
        <v>29000</v>
      </c>
      <c r="N52" s="339">
        <f>34130+900</f>
        <v>35030</v>
      </c>
      <c r="O52" s="354"/>
      <c r="P52" s="354"/>
      <c r="Q52" s="354"/>
      <c r="R52" s="354"/>
      <c r="S52" s="354"/>
      <c r="T52" s="354"/>
      <c r="U52" s="354"/>
      <c r="V52" s="354"/>
      <c r="W52" s="354"/>
    </row>
    <row r="53" spans="1:23" s="115" customFormat="1" ht="12" customHeight="1">
      <c r="A53" s="301" t="s">
        <v>8</v>
      </c>
      <c r="B53" s="948" t="s">
        <v>274</v>
      </c>
      <c r="C53" s="951"/>
      <c r="D53" s="951"/>
      <c r="E53" s="952"/>
      <c r="F53" s="340">
        <v>378</v>
      </c>
      <c r="G53" s="338">
        <v>321</v>
      </c>
      <c r="H53" s="339">
        <v>690</v>
      </c>
      <c r="I53" s="340">
        <v>10935</v>
      </c>
      <c r="J53" s="338">
        <v>15559</v>
      </c>
      <c r="K53" s="340">
        <v>10610</v>
      </c>
      <c r="L53" s="341">
        <v>2787</v>
      </c>
      <c r="M53" s="337">
        <v>4103</v>
      </c>
      <c r="N53" s="339">
        <v>2660</v>
      </c>
      <c r="O53" s="354"/>
      <c r="P53" s="354"/>
      <c r="Q53" s="354"/>
      <c r="R53" s="354"/>
      <c r="S53" s="354"/>
      <c r="T53" s="354"/>
      <c r="U53" s="354"/>
      <c r="V53" s="354"/>
      <c r="W53" s="354"/>
    </row>
    <row r="54" spans="1:23" s="115" customFormat="1" ht="12" customHeight="1">
      <c r="A54" s="301" t="s">
        <v>9</v>
      </c>
      <c r="B54" s="948" t="str">
        <f aca="true" t="shared" si="7" ref="B54:B69">B15</f>
        <v>Közvilágítási feladatok</v>
      </c>
      <c r="C54" s="953"/>
      <c r="D54" s="953"/>
      <c r="E54" s="954"/>
      <c r="F54" s="340"/>
      <c r="G54" s="338"/>
      <c r="H54" s="339"/>
      <c r="I54" s="340">
        <v>22562</v>
      </c>
      <c r="J54" s="338">
        <v>22600</v>
      </c>
      <c r="K54" s="340">
        <v>28000</v>
      </c>
      <c r="L54" s="341">
        <v>4838</v>
      </c>
      <c r="M54" s="337">
        <v>5000</v>
      </c>
      <c r="N54" s="339">
        <v>5600</v>
      </c>
      <c r="O54" s="354"/>
      <c r="P54" s="354"/>
      <c r="Q54" s="354"/>
      <c r="R54" s="354"/>
      <c r="S54" s="354"/>
      <c r="T54" s="354"/>
      <c r="U54" s="354"/>
      <c r="V54" s="354"/>
      <c r="W54" s="354"/>
    </row>
    <row r="55" spans="1:23" s="115" customFormat="1" ht="12" customHeight="1">
      <c r="A55" s="301" t="s">
        <v>10</v>
      </c>
      <c r="B55" s="948" t="str">
        <f t="shared" si="7"/>
        <v>Általános iskolának átadott pénzeszköz</v>
      </c>
      <c r="C55" s="953"/>
      <c r="D55" s="953"/>
      <c r="E55" s="954"/>
      <c r="F55" s="340"/>
      <c r="G55" s="338"/>
      <c r="H55" s="339"/>
      <c r="I55" s="340"/>
      <c r="J55" s="338"/>
      <c r="K55" s="340"/>
      <c r="L55" s="341"/>
      <c r="M55" s="337"/>
      <c r="N55" s="339"/>
      <c r="O55" s="354"/>
      <c r="P55" s="354"/>
      <c r="Q55" s="354"/>
      <c r="R55" s="354"/>
      <c r="S55" s="354"/>
      <c r="T55" s="354"/>
      <c r="U55" s="354"/>
      <c r="V55" s="354"/>
      <c r="W55" s="354"/>
    </row>
    <row r="56" spans="1:23" s="115" customFormat="1" ht="12" customHeight="1">
      <c r="A56" s="301" t="s">
        <v>11</v>
      </c>
      <c r="B56" s="948" t="str">
        <f t="shared" si="7"/>
        <v>Finanszírozási műveletek elszámolása (rul. Hitel)</v>
      </c>
      <c r="C56" s="953"/>
      <c r="D56" s="953"/>
      <c r="E56" s="954"/>
      <c r="F56" s="340"/>
      <c r="G56" s="338"/>
      <c r="H56" s="339"/>
      <c r="I56" s="340"/>
      <c r="J56" s="338"/>
      <c r="K56" s="340"/>
      <c r="L56" s="341"/>
      <c r="M56" s="337"/>
      <c r="N56" s="339"/>
      <c r="O56" s="354"/>
      <c r="P56" s="354"/>
      <c r="Q56" s="354"/>
      <c r="R56" s="354"/>
      <c r="S56" s="354"/>
      <c r="T56" s="354"/>
      <c r="U56" s="354"/>
      <c r="V56" s="354"/>
      <c r="W56" s="354"/>
    </row>
    <row r="57" spans="1:23" s="115" customFormat="1" ht="12" customHeight="1">
      <c r="A57" s="301" t="s">
        <v>12</v>
      </c>
      <c r="B57" s="948" t="str">
        <f t="shared" si="7"/>
        <v>Óvodai nevelés</v>
      </c>
      <c r="C57" s="953"/>
      <c r="D57" s="953"/>
      <c r="E57" s="954"/>
      <c r="F57" s="340">
        <v>2383</v>
      </c>
      <c r="G57" s="338">
        <v>4429</v>
      </c>
      <c r="H57" s="339">
        <v>4554</v>
      </c>
      <c r="I57" s="340">
        <v>9442</v>
      </c>
      <c r="J57" s="338">
        <v>7989</v>
      </c>
      <c r="K57" s="340">
        <v>11280</v>
      </c>
      <c r="L57" s="341">
        <v>5436</v>
      </c>
      <c r="M57" s="337">
        <v>3441</v>
      </c>
      <c r="N57" s="339">
        <v>4846</v>
      </c>
      <c r="O57" s="354"/>
      <c r="P57" s="354"/>
      <c r="Q57" s="354"/>
      <c r="R57" s="354"/>
      <c r="S57" s="354"/>
      <c r="T57" s="354"/>
      <c r="U57" s="354"/>
      <c r="V57" s="354"/>
      <c r="W57" s="354"/>
    </row>
    <row r="58" spans="1:23" s="115" customFormat="1" ht="12" customHeight="1">
      <c r="A58" s="301" t="s">
        <v>13</v>
      </c>
      <c r="B58" s="948" t="str">
        <f t="shared" si="7"/>
        <v>Háziorvosi szolgálat</v>
      </c>
      <c r="C58" s="953"/>
      <c r="D58" s="953"/>
      <c r="E58" s="954"/>
      <c r="F58" s="340">
        <v>129</v>
      </c>
      <c r="G58" s="338">
        <v>250</v>
      </c>
      <c r="H58" s="339">
        <v>300</v>
      </c>
      <c r="I58" s="340">
        <v>4827</v>
      </c>
      <c r="J58" s="338">
        <v>4514</v>
      </c>
      <c r="K58" s="340">
        <v>8330</v>
      </c>
      <c r="L58" s="341">
        <v>1060</v>
      </c>
      <c r="M58" s="337">
        <v>1200</v>
      </c>
      <c r="N58" s="339">
        <v>1726</v>
      </c>
      <c r="O58" s="354"/>
      <c r="P58" s="354"/>
      <c r="Q58" s="354"/>
      <c r="R58" s="354"/>
      <c r="S58" s="354"/>
      <c r="T58" s="354"/>
      <c r="U58" s="354"/>
      <c r="V58" s="354"/>
      <c r="W58" s="354"/>
    </row>
    <row r="59" spans="1:23" s="115" customFormat="1" ht="12" customHeight="1">
      <c r="A59" s="301" t="s">
        <v>14</v>
      </c>
      <c r="B59" s="948" t="str">
        <f t="shared" si="7"/>
        <v>Kiegészítő alapellátási szolgáltatások</v>
      </c>
      <c r="C59" s="953"/>
      <c r="D59" s="953"/>
      <c r="E59" s="954"/>
      <c r="F59" s="340">
        <v>145</v>
      </c>
      <c r="G59" s="338">
        <v>165</v>
      </c>
      <c r="H59" s="339">
        <v>160</v>
      </c>
      <c r="I59" s="340">
        <v>201</v>
      </c>
      <c r="J59" s="338">
        <v>220</v>
      </c>
      <c r="K59" s="340">
        <v>295</v>
      </c>
      <c r="L59" s="341">
        <v>57</v>
      </c>
      <c r="M59" s="337">
        <v>110</v>
      </c>
      <c r="N59" s="339">
        <v>100</v>
      </c>
      <c r="O59" s="354"/>
      <c r="P59" s="354"/>
      <c r="Q59" s="354"/>
      <c r="R59" s="354"/>
      <c r="S59" s="354"/>
      <c r="T59" s="354"/>
      <c r="U59" s="354"/>
      <c r="V59" s="354"/>
      <c r="W59" s="354"/>
    </row>
    <row r="60" spans="1:23" s="115" customFormat="1" ht="12" customHeight="1">
      <c r="A60" s="301" t="s">
        <v>15</v>
      </c>
      <c r="B60" s="948" t="str">
        <f t="shared" si="7"/>
        <v>Védőnői szolgálat</v>
      </c>
      <c r="C60" s="953"/>
      <c r="D60" s="953"/>
      <c r="E60" s="954"/>
      <c r="F60" s="340">
        <v>64</v>
      </c>
      <c r="G60" s="338">
        <v>160</v>
      </c>
      <c r="H60" s="339">
        <v>160</v>
      </c>
      <c r="I60" s="340">
        <v>315</v>
      </c>
      <c r="J60" s="338">
        <v>350</v>
      </c>
      <c r="K60" s="340">
        <v>400</v>
      </c>
      <c r="L60" s="341">
        <v>83</v>
      </c>
      <c r="M60" s="337">
        <v>132</v>
      </c>
      <c r="N60" s="339">
        <v>112</v>
      </c>
      <c r="O60" s="354"/>
      <c r="P60" s="354"/>
      <c r="Q60" s="354"/>
      <c r="R60" s="354"/>
      <c r="S60" s="354"/>
      <c r="T60" s="354"/>
      <c r="U60" s="354"/>
      <c r="V60" s="354"/>
      <c r="W60" s="354"/>
    </row>
    <row r="61" spans="1:23" s="115" customFormat="1" ht="12" customHeight="1">
      <c r="A61" s="301" t="s">
        <v>16</v>
      </c>
      <c r="B61" s="948" t="str">
        <f t="shared" si="7"/>
        <v>Állategészségügy</v>
      </c>
      <c r="C61" s="953"/>
      <c r="D61" s="953"/>
      <c r="E61" s="954"/>
      <c r="F61" s="340">
        <v>46</v>
      </c>
      <c r="G61" s="338">
        <v>200</v>
      </c>
      <c r="H61" s="339">
        <v>200</v>
      </c>
      <c r="I61" s="340">
        <v>3022</v>
      </c>
      <c r="J61" s="338">
        <v>3500</v>
      </c>
      <c r="K61" s="340">
        <v>2300</v>
      </c>
      <c r="L61" s="341">
        <v>774</v>
      </c>
      <c r="M61" s="337">
        <v>700</v>
      </c>
      <c r="N61" s="339">
        <v>500</v>
      </c>
      <c r="O61" s="354"/>
      <c r="P61" s="354"/>
      <c r="Q61" s="354"/>
      <c r="R61" s="354"/>
      <c r="S61" s="354"/>
      <c r="T61" s="354"/>
      <c r="U61" s="354"/>
      <c r="V61" s="354"/>
      <c r="W61" s="354"/>
    </row>
    <row r="62" spans="1:23" s="115" customFormat="1" ht="12" customHeight="1">
      <c r="A62" s="301" t="s">
        <v>17</v>
      </c>
      <c r="B62" s="948" t="str">
        <f t="shared" si="7"/>
        <v>Szociális étkeztetés</v>
      </c>
      <c r="C62" s="953"/>
      <c r="D62" s="953"/>
      <c r="E62" s="954"/>
      <c r="F62" s="340"/>
      <c r="G62" s="338"/>
      <c r="H62" s="339"/>
      <c r="I62" s="340">
        <v>2150</v>
      </c>
      <c r="J62" s="338">
        <v>2000</v>
      </c>
      <c r="K62" s="340">
        <v>2200</v>
      </c>
      <c r="L62" s="341">
        <v>357</v>
      </c>
      <c r="M62" s="337">
        <v>400</v>
      </c>
      <c r="N62" s="339">
        <v>440</v>
      </c>
      <c r="O62" s="354"/>
      <c r="P62" s="354"/>
      <c r="Q62" s="354"/>
      <c r="R62" s="354"/>
      <c r="S62" s="354"/>
      <c r="T62" s="354"/>
      <c r="U62" s="354"/>
      <c r="V62" s="354"/>
      <c r="W62" s="354"/>
    </row>
    <row r="63" spans="1:23" s="115" customFormat="1" ht="12" customHeight="1">
      <c r="A63" s="301" t="s">
        <v>18</v>
      </c>
      <c r="B63" s="948" t="str">
        <f t="shared" si="7"/>
        <v>Rendszeres szoc. Pénzbeni ellátás</v>
      </c>
      <c r="C63" s="953"/>
      <c r="D63" s="953"/>
      <c r="E63" s="954"/>
      <c r="F63" s="340"/>
      <c r="G63" s="338"/>
      <c r="H63" s="339"/>
      <c r="I63" s="340"/>
      <c r="J63" s="342"/>
      <c r="K63" s="340"/>
      <c r="L63" s="341"/>
      <c r="M63" s="337"/>
      <c r="N63" s="339"/>
      <c r="O63" s="354"/>
      <c r="P63" s="354"/>
      <c r="Q63" s="354"/>
      <c r="R63" s="354"/>
      <c r="S63" s="355"/>
      <c r="T63" s="354"/>
      <c r="U63" s="354"/>
      <c r="V63" s="354"/>
      <c r="W63" s="354"/>
    </row>
    <row r="64" spans="1:23" s="115" customFormat="1" ht="12" customHeight="1">
      <c r="A64" s="301" t="s">
        <v>19</v>
      </c>
      <c r="B64" s="948" t="str">
        <f t="shared" si="7"/>
        <v>Rendszeres gyermekvédelmi pénzb. Ellátás</v>
      </c>
      <c r="C64" s="953"/>
      <c r="D64" s="953"/>
      <c r="E64" s="954"/>
      <c r="F64" s="340"/>
      <c r="G64" s="338"/>
      <c r="H64" s="339"/>
      <c r="I64" s="340">
        <v>2</v>
      </c>
      <c r="J64" s="338"/>
      <c r="K64" s="340"/>
      <c r="L64" s="341">
        <v>20</v>
      </c>
      <c r="M64" s="337"/>
      <c r="N64" s="339"/>
      <c r="O64" s="354"/>
      <c r="P64" s="354"/>
      <c r="Q64" s="354"/>
      <c r="R64" s="354"/>
      <c r="S64" s="354"/>
      <c r="T64" s="354"/>
      <c r="U64" s="354"/>
      <c r="V64" s="354"/>
      <c r="W64" s="354"/>
    </row>
    <row r="65" spans="1:23" s="115" customFormat="1" ht="12" customHeight="1">
      <c r="A65" s="301" t="s">
        <v>20</v>
      </c>
      <c r="B65" s="948" t="str">
        <f t="shared" si="7"/>
        <v>Munkanélküli ellátások</v>
      </c>
      <c r="C65" s="953"/>
      <c r="D65" s="953"/>
      <c r="E65" s="954"/>
      <c r="F65" s="340"/>
      <c r="G65" s="338"/>
      <c r="H65" s="339"/>
      <c r="I65" s="340"/>
      <c r="J65" s="338"/>
      <c r="K65" s="340"/>
      <c r="L65" s="341"/>
      <c r="M65" s="337"/>
      <c r="N65" s="339"/>
      <c r="O65" s="354"/>
      <c r="P65" s="354"/>
      <c r="Q65" s="354"/>
      <c r="R65" s="354"/>
      <c r="S65" s="354"/>
      <c r="T65" s="354"/>
      <c r="U65" s="354"/>
      <c r="V65" s="354"/>
      <c r="W65" s="354"/>
    </row>
    <row r="66" spans="1:23" s="115" customFormat="1" ht="12" customHeight="1">
      <c r="A66" s="301" t="s">
        <v>21</v>
      </c>
      <c r="B66" s="948" t="str">
        <f t="shared" si="7"/>
        <v>Eseti pénzbeli szociális ellátások</v>
      </c>
      <c r="C66" s="953"/>
      <c r="D66" s="953"/>
      <c r="E66" s="954"/>
      <c r="F66" s="340"/>
      <c r="G66" s="338"/>
      <c r="H66" s="339"/>
      <c r="I66" s="340"/>
      <c r="J66" s="338"/>
      <c r="K66" s="340"/>
      <c r="L66" s="341">
        <v>14</v>
      </c>
      <c r="M66" s="337"/>
      <c r="N66" s="339"/>
      <c r="O66" s="354"/>
      <c r="P66" s="354"/>
      <c r="Q66" s="354"/>
      <c r="R66" s="354"/>
      <c r="S66" s="354"/>
      <c r="T66" s="354"/>
      <c r="U66" s="354"/>
      <c r="V66" s="354"/>
      <c r="W66" s="354"/>
    </row>
    <row r="67" spans="1:23" s="115" customFormat="1" ht="12" customHeight="1">
      <c r="A67" s="301" t="s">
        <v>22</v>
      </c>
      <c r="B67" s="948" t="str">
        <f t="shared" si="7"/>
        <v>Eseti pénzbeni gyermekvédelmi ellátások</v>
      </c>
      <c r="C67" s="953"/>
      <c r="D67" s="953"/>
      <c r="E67" s="954"/>
      <c r="F67" s="340"/>
      <c r="G67" s="338"/>
      <c r="H67" s="339"/>
      <c r="I67" s="340">
        <v>77</v>
      </c>
      <c r="J67" s="338"/>
      <c r="K67" s="340"/>
      <c r="L67" s="341">
        <v>26</v>
      </c>
      <c r="M67" s="337"/>
      <c r="N67" s="339"/>
      <c r="O67" s="354"/>
      <c r="P67" s="354"/>
      <c r="Q67" s="354"/>
      <c r="R67" s="354"/>
      <c r="S67" s="354"/>
      <c r="T67" s="354"/>
      <c r="U67" s="354"/>
      <c r="V67" s="354"/>
      <c r="W67" s="354"/>
    </row>
    <row r="68" spans="1:23" s="115" customFormat="1" ht="12" customHeight="1">
      <c r="A68" s="301" t="s">
        <v>23</v>
      </c>
      <c r="B68" s="948" t="str">
        <f t="shared" si="7"/>
        <v>Közművelődési könyvtári tevékenység</v>
      </c>
      <c r="C68" s="953"/>
      <c r="D68" s="953"/>
      <c r="E68" s="954"/>
      <c r="F68" s="340">
        <v>942</v>
      </c>
      <c r="G68" s="338">
        <v>764</v>
      </c>
      <c r="H68" s="339">
        <v>1388</v>
      </c>
      <c r="I68" s="340">
        <v>866</v>
      </c>
      <c r="J68" s="338">
        <v>859</v>
      </c>
      <c r="K68" s="340">
        <v>993</v>
      </c>
      <c r="L68" s="341">
        <v>551</v>
      </c>
      <c r="M68" s="337">
        <v>350</v>
      </c>
      <c r="N68" s="339">
        <v>529</v>
      </c>
      <c r="O68" s="354"/>
      <c r="P68" s="354"/>
      <c r="Q68" s="354"/>
      <c r="R68" s="354"/>
      <c r="S68" s="354"/>
      <c r="T68" s="354"/>
      <c r="U68" s="354"/>
      <c r="V68" s="354"/>
      <c r="W68" s="354"/>
    </row>
    <row r="69" spans="1:23" s="115" customFormat="1" ht="12" customHeight="1">
      <c r="A69" s="301" t="s">
        <v>24</v>
      </c>
      <c r="B69" s="948" t="str">
        <f t="shared" si="7"/>
        <v>Egyéb szakfel (pl. helyi kisebbségi, választások..)</v>
      </c>
      <c r="C69" s="953"/>
      <c r="D69" s="953"/>
      <c r="E69" s="954"/>
      <c r="F69" s="340"/>
      <c r="G69" s="338"/>
      <c r="H69" s="339"/>
      <c r="I69" s="340"/>
      <c r="J69" s="338"/>
      <c r="K69" s="340"/>
      <c r="L69" s="341"/>
      <c r="M69" s="337"/>
      <c r="N69" s="339"/>
      <c r="O69" s="354"/>
      <c r="P69" s="354"/>
      <c r="Q69" s="354"/>
      <c r="R69" s="354"/>
      <c r="S69" s="354"/>
      <c r="T69" s="354"/>
      <c r="U69" s="354"/>
      <c r="V69" s="354"/>
      <c r="W69" s="354"/>
    </row>
    <row r="70" spans="1:23" s="115" customFormat="1" ht="12" customHeight="1" thickBot="1">
      <c r="A70" s="309" t="s">
        <v>25</v>
      </c>
      <c r="B70" s="977"/>
      <c r="C70" s="978"/>
      <c r="D70" s="978"/>
      <c r="E70" s="979"/>
      <c r="F70" s="340"/>
      <c r="G70" s="369"/>
      <c r="H70" s="339"/>
      <c r="I70" s="337"/>
      <c r="J70" s="338"/>
      <c r="K70" s="340"/>
      <c r="L70" s="371"/>
      <c r="M70" s="337"/>
      <c r="N70" s="339"/>
      <c r="O70" s="354"/>
      <c r="P70" s="354"/>
      <c r="Q70" s="354"/>
      <c r="R70" s="354"/>
      <c r="S70" s="354"/>
      <c r="T70" s="354"/>
      <c r="U70" s="354"/>
      <c r="V70" s="354"/>
      <c r="W70" s="354"/>
    </row>
    <row r="71" spans="1:23" s="115" customFormat="1" ht="12" customHeight="1" thickBot="1" thickTop="1">
      <c r="A71" s="616" t="s">
        <v>26</v>
      </c>
      <c r="B71" s="964" t="s">
        <v>385</v>
      </c>
      <c r="C71" s="1024"/>
      <c r="D71" s="1024"/>
      <c r="E71" s="1025"/>
      <c r="F71" s="343">
        <f>SUM(F48:F70)</f>
        <v>30490</v>
      </c>
      <c r="G71" s="344">
        <f aca="true" t="shared" si="8" ref="G71:N71">SUM(G48:G70)</f>
        <v>39796</v>
      </c>
      <c r="H71" s="345">
        <f t="shared" si="8"/>
        <v>31670</v>
      </c>
      <c r="I71" s="343">
        <f t="shared" si="8"/>
        <v>98821</v>
      </c>
      <c r="J71" s="344">
        <f>SUM(J48:J70)</f>
        <v>106624</v>
      </c>
      <c r="K71" s="346">
        <f>SUM(K48:K70)</f>
        <v>89762</v>
      </c>
      <c r="L71" s="347">
        <f t="shared" si="8"/>
        <v>48714</v>
      </c>
      <c r="M71" s="344">
        <f t="shared" si="8"/>
        <v>51839</v>
      </c>
      <c r="N71" s="346">
        <f t="shared" si="8"/>
        <v>53569</v>
      </c>
      <c r="O71" s="352"/>
      <c r="P71" s="352"/>
      <c r="Q71" s="352"/>
      <c r="R71" s="352"/>
      <c r="S71" s="352"/>
      <c r="T71" s="352"/>
      <c r="U71" s="352"/>
      <c r="V71" s="352"/>
      <c r="W71" s="352"/>
    </row>
    <row r="72" spans="1:23" ht="12" customHeight="1" thickTop="1">
      <c r="A72" s="295"/>
      <c r="B72" s="295"/>
      <c r="C72" s="295"/>
      <c r="D72" s="295"/>
      <c r="E72" s="295"/>
      <c r="F72" s="295"/>
      <c r="G72" s="295"/>
      <c r="H72" s="295"/>
      <c r="I72" s="295"/>
      <c r="J72" s="348"/>
      <c r="K72" s="295"/>
      <c r="O72" s="357"/>
      <c r="P72" s="357"/>
      <c r="Q72" s="357"/>
      <c r="R72" s="357"/>
      <c r="S72" s="357"/>
      <c r="T72" s="357"/>
      <c r="U72" s="357"/>
      <c r="V72" s="357"/>
      <c r="W72" s="357"/>
    </row>
    <row r="73" spans="1:23" ht="79.5" customHeight="1">
      <c r="A73" s="295"/>
      <c r="B73" s="295"/>
      <c r="C73" s="295"/>
      <c r="D73" s="295"/>
      <c r="E73" s="295"/>
      <c r="F73" s="295"/>
      <c r="G73" s="295"/>
      <c r="H73" s="295"/>
      <c r="I73" s="295"/>
      <c r="J73" s="348"/>
      <c r="K73" s="295"/>
      <c r="O73" s="357"/>
      <c r="P73" s="357"/>
      <c r="Q73" s="357"/>
      <c r="R73" s="357"/>
      <c r="S73" s="357"/>
      <c r="T73" s="357"/>
      <c r="U73" s="357"/>
      <c r="V73" s="357"/>
      <c r="W73" s="357"/>
    </row>
    <row r="74" spans="1:23" ht="12" customHeight="1">
      <c r="A74" s="295"/>
      <c r="B74" s="295"/>
      <c r="C74" s="295"/>
      <c r="D74" s="295"/>
      <c r="E74" s="295"/>
      <c r="F74" s="295"/>
      <c r="G74" s="295"/>
      <c r="H74" s="295"/>
      <c r="I74" s="295"/>
      <c r="J74" s="348"/>
      <c r="K74" s="295"/>
      <c r="O74" s="357"/>
      <c r="P74" s="357"/>
      <c r="Q74" s="357"/>
      <c r="R74" s="357"/>
      <c r="S74" s="357"/>
      <c r="T74" s="357"/>
      <c r="U74" s="357"/>
      <c r="V74" s="357"/>
      <c r="W74" s="357"/>
    </row>
    <row r="75" spans="1:23" ht="12" customHeight="1">
      <c r="A75" s="295"/>
      <c r="B75" s="295"/>
      <c r="C75" s="295"/>
      <c r="D75" s="295"/>
      <c r="E75" s="295"/>
      <c r="F75" s="295"/>
      <c r="G75" s="295"/>
      <c r="H75" s="295"/>
      <c r="I75" s="295"/>
      <c r="J75" s="348"/>
      <c r="K75" s="295"/>
      <c r="O75" s="357"/>
      <c r="P75" s="357"/>
      <c r="Q75" s="357"/>
      <c r="R75" s="357"/>
      <c r="S75" s="357"/>
      <c r="T75" s="357"/>
      <c r="U75" s="357"/>
      <c r="V75" s="357"/>
      <c r="W75" s="357"/>
    </row>
    <row r="76" spans="1:23" ht="12" customHeight="1">
      <c r="A76" s="295"/>
      <c r="B76" s="295"/>
      <c r="C76" s="295"/>
      <c r="D76" s="295"/>
      <c r="E76" s="295"/>
      <c r="F76" s="295"/>
      <c r="G76" s="295"/>
      <c r="H76" s="295"/>
      <c r="I76" s="295"/>
      <c r="J76" s="348"/>
      <c r="K76" s="295"/>
      <c r="O76" s="357"/>
      <c r="P76" s="357"/>
      <c r="Q76" s="357"/>
      <c r="R76" s="357"/>
      <c r="S76" s="357"/>
      <c r="T76" s="357"/>
      <c r="U76" s="357"/>
      <c r="V76" s="357"/>
      <c r="W76" s="357"/>
    </row>
    <row r="77" spans="1:23" ht="12" customHeight="1">
      <c r="A77" s="295"/>
      <c r="B77" s="295"/>
      <c r="C77" s="295"/>
      <c r="D77" s="295"/>
      <c r="E77" s="295"/>
      <c r="F77" s="295"/>
      <c r="G77" s="295"/>
      <c r="H77" s="295"/>
      <c r="I77" s="295"/>
      <c r="J77" s="348"/>
      <c r="K77" s="295"/>
      <c r="O77" s="357"/>
      <c r="P77" s="357"/>
      <c r="Q77" s="357"/>
      <c r="R77" s="357"/>
      <c r="S77" s="357"/>
      <c r="T77" s="357"/>
      <c r="U77" s="357"/>
      <c r="V77" s="357"/>
      <c r="W77" s="357"/>
    </row>
    <row r="78" spans="1:23" ht="13.5" thickBot="1">
      <c r="A78" s="357"/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O78" s="357"/>
      <c r="P78" s="357"/>
      <c r="Q78" s="357"/>
      <c r="R78" s="357"/>
      <c r="S78" s="357"/>
      <c r="T78" s="357"/>
      <c r="U78" s="357"/>
      <c r="V78" s="357"/>
      <c r="W78" s="357"/>
    </row>
    <row r="79" spans="1:23" ht="13.5" thickTop="1">
      <c r="A79" s="920" t="s">
        <v>248</v>
      </c>
      <c r="B79" s="922" t="s">
        <v>249</v>
      </c>
      <c r="C79" s="922"/>
      <c r="D79" s="922"/>
      <c r="E79" s="923"/>
      <c r="F79" s="955" t="s">
        <v>251</v>
      </c>
      <c r="G79" s="956"/>
      <c r="H79" s="956"/>
      <c r="I79" s="956"/>
      <c r="J79" s="956"/>
      <c r="K79" s="956"/>
      <c r="L79" s="956"/>
      <c r="M79" s="956"/>
      <c r="N79" s="957"/>
      <c r="O79" s="357"/>
      <c r="P79" s="357"/>
      <c r="Q79" s="357"/>
      <c r="R79" s="357"/>
      <c r="S79" s="357"/>
      <c r="T79" s="357"/>
      <c r="U79" s="357"/>
      <c r="V79" s="357"/>
      <c r="W79" s="357"/>
    </row>
    <row r="80" spans="1:23" ht="13.5" thickBot="1">
      <c r="A80" s="921"/>
      <c r="B80" s="924"/>
      <c r="C80" s="924"/>
      <c r="D80" s="924"/>
      <c r="E80" s="925"/>
      <c r="F80" s="958" t="s">
        <v>91</v>
      </c>
      <c r="G80" s="959"/>
      <c r="H80" s="960"/>
      <c r="I80" s="961" t="s">
        <v>268</v>
      </c>
      <c r="J80" s="962"/>
      <c r="K80" s="963"/>
      <c r="L80" s="961" t="s">
        <v>267</v>
      </c>
      <c r="M80" s="962"/>
      <c r="N80" s="963"/>
      <c r="O80" s="357"/>
      <c r="P80" s="357"/>
      <c r="Q80" s="357"/>
      <c r="R80" s="357"/>
      <c r="S80" s="357"/>
      <c r="T80" s="357"/>
      <c r="U80" s="357"/>
      <c r="V80" s="357"/>
      <c r="W80" s="357"/>
    </row>
    <row r="81" spans="1:23" ht="13.5" thickTop="1">
      <c r="A81" s="921"/>
      <c r="B81" s="924"/>
      <c r="C81" s="924"/>
      <c r="D81" s="924"/>
      <c r="E81" s="925"/>
      <c r="F81" s="931" t="s">
        <v>253</v>
      </c>
      <c r="G81" s="934" t="s">
        <v>265</v>
      </c>
      <c r="H81" s="937" t="s">
        <v>266</v>
      </c>
      <c r="I81" s="945" t="s">
        <v>253</v>
      </c>
      <c r="J81" s="934" t="s">
        <v>265</v>
      </c>
      <c r="K81" s="937" t="s">
        <v>266</v>
      </c>
      <c r="L81" s="945" t="s">
        <v>253</v>
      </c>
      <c r="M81" s="934" t="s">
        <v>265</v>
      </c>
      <c r="N81" s="937" t="s">
        <v>266</v>
      </c>
      <c r="O81" s="357"/>
      <c r="P81" s="357"/>
      <c r="Q81" s="357"/>
      <c r="R81" s="357"/>
      <c r="S81" s="357"/>
      <c r="T81" s="357"/>
      <c r="U81" s="357"/>
      <c r="V81" s="357"/>
      <c r="W81" s="357"/>
    </row>
    <row r="82" spans="1:23" ht="12.75">
      <c r="A82" s="921"/>
      <c r="B82" s="924"/>
      <c r="C82" s="924"/>
      <c r="D82" s="924"/>
      <c r="E82" s="925"/>
      <c r="F82" s="932"/>
      <c r="G82" s="935"/>
      <c r="H82" s="938"/>
      <c r="I82" s="946"/>
      <c r="J82" s="935"/>
      <c r="K82" s="938"/>
      <c r="L82" s="946"/>
      <c r="M82" s="935"/>
      <c r="N82" s="938"/>
      <c r="O82" s="357"/>
      <c r="P82" s="357"/>
      <c r="Q82" s="357"/>
      <c r="R82" s="357"/>
      <c r="S82" s="357"/>
      <c r="T82" s="357"/>
      <c r="U82" s="357"/>
      <c r="V82" s="357"/>
      <c r="W82" s="357"/>
    </row>
    <row r="83" spans="1:23" ht="13.5" thickBot="1">
      <c r="A83" s="921"/>
      <c r="B83" s="940"/>
      <c r="C83" s="941"/>
      <c r="D83" s="941"/>
      <c r="E83" s="942"/>
      <c r="F83" s="933"/>
      <c r="G83" s="936"/>
      <c r="H83" s="939"/>
      <c r="I83" s="947"/>
      <c r="J83" s="936"/>
      <c r="K83" s="939"/>
      <c r="L83" s="947"/>
      <c r="M83" s="936"/>
      <c r="N83" s="939"/>
      <c r="O83" s="357"/>
      <c r="P83" s="357"/>
      <c r="Q83" s="357"/>
      <c r="R83" s="357"/>
      <c r="S83" s="357"/>
      <c r="T83" s="357"/>
      <c r="U83" s="357"/>
      <c r="V83" s="357"/>
      <c r="W83" s="357"/>
    </row>
    <row r="84" spans="1:23" ht="13.5" thickTop="1">
      <c r="A84" s="301" t="s">
        <v>3</v>
      </c>
      <c r="B84" s="948" t="s">
        <v>270</v>
      </c>
      <c r="C84" s="949"/>
      <c r="D84" s="949"/>
      <c r="E84" s="950"/>
      <c r="F84" s="340"/>
      <c r="G84" s="368"/>
      <c r="H84" s="339"/>
      <c r="I84" s="340"/>
      <c r="J84" s="338"/>
      <c r="K84" s="340"/>
      <c r="L84" s="370"/>
      <c r="M84" s="337"/>
      <c r="N84" s="339"/>
      <c r="O84" s="357"/>
      <c r="P84" s="357"/>
      <c r="Q84" s="357"/>
      <c r="R84" s="357"/>
      <c r="S84" s="357"/>
      <c r="T84" s="357"/>
      <c r="U84" s="357"/>
      <c r="V84" s="357"/>
      <c r="W84" s="357"/>
    </row>
    <row r="85" spans="1:23" ht="12.75">
      <c r="A85" s="301" t="s">
        <v>4</v>
      </c>
      <c r="B85" s="948" t="s">
        <v>255</v>
      </c>
      <c r="C85" s="953"/>
      <c r="D85" s="953"/>
      <c r="E85" s="954"/>
      <c r="F85" s="340"/>
      <c r="G85" s="338"/>
      <c r="H85" s="339"/>
      <c r="I85" s="340"/>
      <c r="J85" s="338"/>
      <c r="K85" s="340"/>
      <c r="L85" s="341"/>
      <c r="M85" s="337"/>
      <c r="N85" s="339"/>
      <c r="O85" s="357"/>
      <c r="P85" s="357"/>
      <c r="Q85" s="357"/>
      <c r="R85" s="357"/>
      <c r="S85" s="357"/>
      <c r="T85" s="357"/>
      <c r="U85" s="357"/>
      <c r="V85" s="357"/>
      <c r="W85" s="357"/>
    </row>
    <row r="86" spans="1:23" ht="12.75">
      <c r="A86" s="301" t="s">
        <v>5</v>
      </c>
      <c r="B86" s="948" t="s">
        <v>271</v>
      </c>
      <c r="C86" s="949"/>
      <c r="D86" s="949"/>
      <c r="E86" s="950"/>
      <c r="F86" s="340"/>
      <c r="G86" s="338"/>
      <c r="H86" s="339"/>
      <c r="I86" s="340"/>
      <c r="J86" s="338"/>
      <c r="K86" s="340"/>
      <c r="L86" s="341"/>
      <c r="M86" s="337"/>
      <c r="N86" s="339"/>
      <c r="O86" s="357"/>
      <c r="P86" s="357"/>
      <c r="Q86" s="357"/>
      <c r="R86" s="357"/>
      <c r="S86" s="357"/>
      <c r="T86" s="357"/>
      <c r="U86" s="357"/>
      <c r="V86" s="357"/>
      <c r="W86" s="357"/>
    </row>
    <row r="87" spans="1:23" ht="12.75">
      <c r="A87" s="301" t="s">
        <v>6</v>
      </c>
      <c r="B87" s="948" t="s">
        <v>272</v>
      </c>
      <c r="C87" s="949"/>
      <c r="D87" s="949"/>
      <c r="E87" s="950"/>
      <c r="F87" s="340"/>
      <c r="G87" s="338"/>
      <c r="H87" s="339"/>
      <c r="I87" s="340"/>
      <c r="J87" s="338"/>
      <c r="K87" s="340"/>
      <c r="L87" s="341"/>
      <c r="M87" s="337"/>
      <c r="N87" s="339"/>
      <c r="O87" s="357"/>
      <c r="P87" s="357"/>
      <c r="Q87" s="357"/>
      <c r="R87" s="357"/>
      <c r="S87" s="357"/>
      <c r="T87" s="357"/>
      <c r="U87" s="357"/>
      <c r="V87" s="357"/>
      <c r="W87" s="357"/>
    </row>
    <row r="88" spans="1:23" ht="12.75">
      <c r="A88" s="301" t="s">
        <v>7</v>
      </c>
      <c r="B88" s="948" t="s">
        <v>273</v>
      </c>
      <c r="C88" s="949"/>
      <c r="D88" s="949"/>
      <c r="E88" s="950"/>
      <c r="F88" s="340">
        <v>24956</v>
      </c>
      <c r="G88" s="338">
        <v>34272</v>
      </c>
      <c r="H88" s="339">
        <v>62500</v>
      </c>
      <c r="I88" s="340">
        <v>4190</v>
      </c>
      <c r="J88" s="338">
        <v>2300</v>
      </c>
      <c r="K88" s="340">
        <v>2500</v>
      </c>
      <c r="L88" s="341">
        <v>43639</v>
      </c>
      <c r="M88" s="337">
        <v>75024</v>
      </c>
      <c r="N88" s="339">
        <f>137450+22748</f>
        <v>160198</v>
      </c>
      <c r="O88" s="357"/>
      <c r="P88" s="357"/>
      <c r="Q88" s="357"/>
      <c r="R88" s="357"/>
      <c r="S88" s="357"/>
      <c r="T88" s="357"/>
      <c r="U88" s="357"/>
      <c r="V88" s="357"/>
      <c r="W88" s="357"/>
    </row>
    <row r="89" spans="1:23" ht="12.75">
      <c r="A89" s="301" t="s">
        <v>8</v>
      </c>
      <c r="B89" s="948" t="s">
        <v>274</v>
      </c>
      <c r="C89" s="951"/>
      <c r="D89" s="951"/>
      <c r="E89" s="952"/>
      <c r="F89" s="340"/>
      <c r="G89" s="338"/>
      <c r="H89" s="339"/>
      <c r="I89" s="340"/>
      <c r="J89" s="338"/>
      <c r="K89" s="340"/>
      <c r="L89" s="341">
        <v>855</v>
      </c>
      <c r="M89" s="337"/>
      <c r="N89" s="339"/>
      <c r="O89" s="357"/>
      <c r="P89" s="357"/>
      <c r="Q89" s="357"/>
      <c r="R89" s="357"/>
      <c r="S89" s="357"/>
      <c r="T89" s="357"/>
      <c r="U89" s="357"/>
      <c r="V89" s="357"/>
      <c r="W89" s="357"/>
    </row>
    <row r="90" spans="1:23" ht="12.75">
      <c r="A90" s="301" t="s">
        <v>9</v>
      </c>
      <c r="B90" s="948" t="str">
        <f aca="true" t="shared" si="9" ref="B90:B105">B15</f>
        <v>Közvilágítási feladatok</v>
      </c>
      <c r="C90" s="953"/>
      <c r="D90" s="953"/>
      <c r="E90" s="954"/>
      <c r="F90" s="340"/>
      <c r="G90" s="338"/>
      <c r="H90" s="339"/>
      <c r="I90" s="340"/>
      <c r="J90" s="338"/>
      <c r="K90" s="340"/>
      <c r="L90" s="341"/>
      <c r="M90" s="337"/>
      <c r="N90" s="339"/>
      <c r="O90" s="357"/>
      <c r="P90" s="357"/>
      <c r="Q90" s="357"/>
      <c r="R90" s="357"/>
      <c r="S90" s="357"/>
      <c r="T90" s="357"/>
      <c r="U90" s="357"/>
      <c r="V90" s="357"/>
      <c r="W90" s="357"/>
    </row>
    <row r="91" spans="1:23" ht="12.75">
      <c r="A91" s="301" t="s">
        <v>10</v>
      </c>
      <c r="B91" s="948" t="str">
        <f t="shared" si="9"/>
        <v>Általános iskolának átadott pénzeszköz</v>
      </c>
      <c r="C91" s="953"/>
      <c r="D91" s="953"/>
      <c r="E91" s="954"/>
      <c r="F91" s="340"/>
      <c r="G91" s="338"/>
      <c r="H91" s="339"/>
      <c r="I91" s="340"/>
      <c r="J91" s="338"/>
      <c r="K91" s="340"/>
      <c r="L91" s="341">
        <v>293224</v>
      </c>
      <c r="M91" s="337">
        <v>315647</v>
      </c>
      <c r="N91" s="339">
        <v>303535</v>
      </c>
      <c r="O91" s="357"/>
      <c r="P91" s="357"/>
      <c r="Q91" s="357"/>
      <c r="R91" s="357"/>
      <c r="S91" s="357"/>
      <c r="T91" s="357"/>
      <c r="U91" s="357"/>
      <c r="V91" s="357"/>
      <c r="W91" s="357"/>
    </row>
    <row r="92" spans="1:23" ht="12.75">
      <c r="A92" s="301" t="s">
        <v>11</v>
      </c>
      <c r="B92" s="948" t="str">
        <f t="shared" si="9"/>
        <v>Finanszírozási műveletek elszámolása (rul. Hitel)</v>
      </c>
      <c r="C92" s="953"/>
      <c r="D92" s="953"/>
      <c r="E92" s="954"/>
      <c r="F92" s="340"/>
      <c r="G92" s="338"/>
      <c r="H92" s="339"/>
      <c r="I92" s="340"/>
      <c r="J92" s="338"/>
      <c r="K92" s="340"/>
      <c r="L92" s="341"/>
      <c r="M92" s="337"/>
      <c r="N92" s="339"/>
      <c r="O92" s="357"/>
      <c r="P92" s="357"/>
      <c r="Q92" s="357"/>
      <c r="R92" s="357"/>
      <c r="S92" s="357"/>
      <c r="T92" s="357"/>
      <c r="U92" s="357"/>
      <c r="V92" s="357"/>
      <c r="W92" s="357"/>
    </row>
    <row r="93" spans="1:23" ht="12.75">
      <c r="A93" s="301" t="s">
        <v>12</v>
      </c>
      <c r="B93" s="948" t="str">
        <f t="shared" si="9"/>
        <v>Óvodai nevelés</v>
      </c>
      <c r="C93" s="953"/>
      <c r="D93" s="953"/>
      <c r="E93" s="954"/>
      <c r="F93" s="340"/>
      <c r="G93" s="338"/>
      <c r="H93" s="339"/>
      <c r="I93" s="340">
        <v>225</v>
      </c>
      <c r="J93" s="338">
        <v>400</v>
      </c>
      <c r="K93" s="340">
        <v>400</v>
      </c>
      <c r="L93" s="341"/>
      <c r="M93" s="337"/>
      <c r="N93" s="339"/>
      <c r="O93" s="357"/>
      <c r="P93" s="357"/>
      <c r="Q93" s="357"/>
      <c r="R93" s="357"/>
      <c r="S93" s="357"/>
      <c r="T93" s="357"/>
      <c r="U93" s="357"/>
      <c r="V93" s="357"/>
      <c r="W93" s="357"/>
    </row>
    <row r="94" spans="1:23" ht="12.75">
      <c r="A94" s="301" t="s">
        <v>13</v>
      </c>
      <c r="B94" s="948" t="str">
        <f t="shared" si="9"/>
        <v>Háziorvosi szolgálat</v>
      </c>
      <c r="C94" s="953"/>
      <c r="D94" s="953"/>
      <c r="E94" s="954"/>
      <c r="F94" s="340"/>
      <c r="G94" s="338"/>
      <c r="H94" s="339"/>
      <c r="I94" s="340"/>
      <c r="J94" s="338"/>
      <c r="K94" s="340"/>
      <c r="L94" s="341">
        <v>16601</v>
      </c>
      <c r="M94" s="337">
        <v>16800</v>
      </c>
      <c r="N94" s="339">
        <v>24488</v>
      </c>
      <c r="O94" s="357"/>
      <c r="P94" s="357"/>
      <c r="Q94" s="357"/>
      <c r="R94" s="357"/>
      <c r="S94" s="357"/>
      <c r="T94" s="357"/>
      <c r="U94" s="357"/>
      <c r="V94" s="357"/>
      <c r="W94" s="357"/>
    </row>
    <row r="95" spans="1:23" ht="12.75">
      <c r="A95" s="301" t="s">
        <v>14</v>
      </c>
      <c r="B95" s="948" t="str">
        <f t="shared" si="9"/>
        <v>Kiegészítő alapellátási szolgáltatások</v>
      </c>
      <c r="C95" s="953"/>
      <c r="D95" s="953"/>
      <c r="E95" s="954"/>
      <c r="F95" s="340"/>
      <c r="G95" s="338"/>
      <c r="H95" s="339"/>
      <c r="I95" s="340">
        <v>3</v>
      </c>
      <c r="J95" s="338">
        <v>20</v>
      </c>
      <c r="K95" s="340">
        <v>40</v>
      </c>
      <c r="L95" s="341"/>
      <c r="M95" s="337"/>
      <c r="N95" s="339"/>
      <c r="O95" s="357"/>
      <c r="P95" s="357"/>
      <c r="Q95" s="357"/>
      <c r="R95" s="357"/>
      <c r="S95" s="357"/>
      <c r="T95" s="357"/>
      <c r="U95" s="357"/>
      <c r="V95" s="357"/>
      <c r="W95" s="357"/>
    </row>
    <row r="96" spans="1:23" ht="12.75">
      <c r="A96" s="301" t="s">
        <v>15</v>
      </c>
      <c r="B96" s="948" t="str">
        <f t="shared" si="9"/>
        <v>Védőnői szolgálat</v>
      </c>
      <c r="C96" s="953"/>
      <c r="D96" s="953"/>
      <c r="E96" s="954"/>
      <c r="F96" s="340"/>
      <c r="G96" s="338"/>
      <c r="H96" s="339"/>
      <c r="I96" s="340">
        <v>187</v>
      </c>
      <c r="J96" s="338">
        <v>190</v>
      </c>
      <c r="K96" s="340">
        <v>60</v>
      </c>
      <c r="L96" s="341"/>
      <c r="M96" s="337"/>
      <c r="N96" s="339"/>
      <c r="O96" s="357"/>
      <c r="P96" s="357"/>
      <c r="Q96" s="357"/>
      <c r="R96" s="357"/>
      <c r="S96" s="357"/>
      <c r="T96" s="357"/>
      <c r="U96" s="357"/>
      <c r="V96" s="357"/>
      <c r="W96" s="357"/>
    </row>
    <row r="97" spans="1:23" ht="12.75">
      <c r="A97" s="301" t="s">
        <v>16</v>
      </c>
      <c r="B97" s="948" t="str">
        <f t="shared" si="9"/>
        <v>Állategészségügy</v>
      </c>
      <c r="C97" s="953"/>
      <c r="D97" s="953"/>
      <c r="E97" s="954"/>
      <c r="F97" s="340"/>
      <c r="G97" s="338"/>
      <c r="H97" s="339"/>
      <c r="I97" s="340"/>
      <c r="J97" s="338"/>
      <c r="K97" s="340"/>
      <c r="L97" s="341"/>
      <c r="M97" s="337"/>
      <c r="N97" s="339"/>
      <c r="O97" s="357"/>
      <c r="P97" s="357"/>
      <c r="Q97" s="357"/>
      <c r="R97" s="357"/>
      <c r="S97" s="357"/>
      <c r="T97" s="357"/>
      <c r="U97" s="357"/>
      <c r="V97" s="357"/>
      <c r="W97" s="357"/>
    </row>
    <row r="98" spans="1:23" ht="12.75">
      <c r="A98" s="301" t="s">
        <v>17</v>
      </c>
      <c r="B98" s="948" t="str">
        <f t="shared" si="9"/>
        <v>Szociális étkeztetés</v>
      </c>
      <c r="C98" s="953"/>
      <c r="D98" s="953"/>
      <c r="E98" s="954"/>
      <c r="F98" s="340"/>
      <c r="G98" s="338"/>
      <c r="H98" s="339"/>
      <c r="I98" s="340">
        <v>421</v>
      </c>
      <c r="J98" s="338"/>
      <c r="K98" s="340"/>
      <c r="L98" s="341"/>
      <c r="M98" s="337"/>
      <c r="N98" s="339"/>
      <c r="O98" s="357"/>
      <c r="P98" s="357"/>
      <c r="Q98" s="357"/>
      <c r="R98" s="357"/>
      <c r="S98" s="357"/>
      <c r="T98" s="357"/>
      <c r="U98" s="357"/>
      <c r="V98" s="357"/>
      <c r="W98" s="357"/>
    </row>
    <row r="99" spans="1:23" ht="12.75">
      <c r="A99" s="301" t="s">
        <v>18</v>
      </c>
      <c r="B99" s="948" t="str">
        <f t="shared" si="9"/>
        <v>Rendszeres szoc. Pénzbeni ellátás</v>
      </c>
      <c r="C99" s="953"/>
      <c r="D99" s="953"/>
      <c r="E99" s="954"/>
      <c r="F99" s="340"/>
      <c r="G99" s="338"/>
      <c r="H99" s="339"/>
      <c r="I99" s="340">
        <v>15633</v>
      </c>
      <c r="J99" s="342">
        <v>19806</v>
      </c>
      <c r="K99" s="340">
        <v>24240</v>
      </c>
      <c r="L99" s="341"/>
      <c r="M99" s="337"/>
      <c r="N99" s="339"/>
      <c r="O99" s="357"/>
      <c r="P99" s="357"/>
      <c r="Q99" s="357"/>
      <c r="R99" s="357"/>
      <c r="S99" s="357"/>
      <c r="T99" s="357"/>
      <c r="U99" s="357"/>
      <c r="V99" s="357"/>
      <c r="W99" s="357"/>
    </row>
    <row r="100" spans="1:23" ht="12.75">
      <c r="A100" s="301" t="s">
        <v>19</v>
      </c>
      <c r="B100" s="948" t="str">
        <f t="shared" si="9"/>
        <v>Rendszeres gyermekvédelmi pénzb. Ellátás</v>
      </c>
      <c r="C100" s="953"/>
      <c r="D100" s="953"/>
      <c r="E100" s="954"/>
      <c r="F100" s="340"/>
      <c r="G100" s="338"/>
      <c r="H100" s="339"/>
      <c r="I100" s="340">
        <v>6557</v>
      </c>
      <c r="J100" s="338">
        <v>4150</v>
      </c>
      <c r="K100" s="340">
        <v>3500</v>
      </c>
      <c r="L100" s="341"/>
      <c r="M100" s="337"/>
      <c r="N100" s="339"/>
      <c r="O100" s="357"/>
      <c r="P100" s="357"/>
      <c r="Q100" s="357"/>
      <c r="R100" s="357"/>
      <c r="S100" s="357"/>
      <c r="T100" s="357"/>
      <c r="U100" s="357"/>
      <c r="V100" s="357"/>
      <c r="W100" s="357"/>
    </row>
    <row r="101" spans="1:23" ht="12.75">
      <c r="A101" s="301" t="s">
        <v>20</v>
      </c>
      <c r="B101" s="948" t="str">
        <f t="shared" si="9"/>
        <v>Munkanélküli ellátások</v>
      </c>
      <c r="C101" s="953"/>
      <c r="D101" s="953"/>
      <c r="E101" s="954"/>
      <c r="F101" s="340"/>
      <c r="G101" s="338"/>
      <c r="H101" s="339"/>
      <c r="I101" s="340">
        <v>16751</v>
      </c>
      <c r="J101" s="338">
        <v>1500</v>
      </c>
      <c r="K101" s="340">
        <v>2800</v>
      </c>
      <c r="L101" s="341"/>
      <c r="M101" s="337"/>
      <c r="N101" s="339"/>
      <c r="O101" s="357"/>
      <c r="P101" s="357"/>
      <c r="Q101" s="357"/>
      <c r="R101" s="357"/>
      <c r="S101" s="357"/>
      <c r="T101" s="357"/>
      <c r="U101" s="357"/>
      <c r="V101" s="357"/>
      <c r="W101" s="357"/>
    </row>
    <row r="102" spans="1:23" ht="12.75">
      <c r="A102" s="301" t="s">
        <v>21</v>
      </c>
      <c r="B102" s="948" t="str">
        <f t="shared" si="9"/>
        <v>Eseti pénzbeli szociális ellátások</v>
      </c>
      <c r="C102" s="953"/>
      <c r="D102" s="953"/>
      <c r="E102" s="954"/>
      <c r="F102" s="340"/>
      <c r="G102" s="338"/>
      <c r="H102" s="339"/>
      <c r="I102" s="340">
        <v>11271</v>
      </c>
      <c r="J102" s="338">
        <v>29300</v>
      </c>
      <c r="K102" s="340">
        <v>17260</v>
      </c>
      <c r="L102" s="341">
        <v>1200</v>
      </c>
      <c r="M102" s="337">
        <v>1800</v>
      </c>
      <c r="N102" s="339"/>
      <c r="O102" s="357"/>
      <c r="P102" s="357"/>
      <c r="Q102" s="357"/>
      <c r="R102" s="357"/>
      <c r="S102" s="357"/>
      <c r="T102" s="357"/>
      <c r="U102" s="357"/>
      <c r="V102" s="357"/>
      <c r="W102" s="357"/>
    </row>
    <row r="103" spans="1:23" ht="12.75">
      <c r="A103" s="301" t="s">
        <v>22</v>
      </c>
      <c r="B103" s="948" t="str">
        <f t="shared" si="9"/>
        <v>Eseti pénzbeni gyermekvédelmi ellátások</v>
      </c>
      <c r="C103" s="953"/>
      <c r="D103" s="953"/>
      <c r="E103" s="954"/>
      <c r="F103" s="340"/>
      <c r="G103" s="338"/>
      <c r="H103" s="339"/>
      <c r="I103" s="340">
        <v>2146</v>
      </c>
      <c r="J103" s="338">
        <v>3250</v>
      </c>
      <c r="K103" s="340">
        <v>1800</v>
      </c>
      <c r="L103" s="341"/>
      <c r="M103" s="337"/>
      <c r="N103" s="339"/>
      <c r="O103" s="357"/>
      <c r="P103" s="357"/>
      <c r="Q103" s="357"/>
      <c r="R103" s="357"/>
      <c r="S103" s="357"/>
      <c r="T103" s="357"/>
      <c r="U103" s="357"/>
      <c r="V103" s="357"/>
      <c r="W103" s="357"/>
    </row>
    <row r="104" spans="1:23" ht="12.75">
      <c r="A104" s="301" t="s">
        <v>23</v>
      </c>
      <c r="B104" s="948" t="str">
        <f t="shared" si="9"/>
        <v>Közművelődési könyvtári tevékenység</v>
      </c>
      <c r="C104" s="953"/>
      <c r="D104" s="953"/>
      <c r="E104" s="954"/>
      <c r="F104" s="340"/>
      <c r="G104" s="338"/>
      <c r="H104" s="339"/>
      <c r="I104" s="340"/>
      <c r="J104" s="338"/>
      <c r="K104" s="340"/>
      <c r="L104" s="341"/>
      <c r="M104" s="337"/>
      <c r="N104" s="339"/>
      <c r="O104" s="357"/>
      <c r="P104" s="357"/>
      <c r="Q104" s="357"/>
      <c r="R104" s="357"/>
      <c r="S104" s="357"/>
      <c r="T104" s="357"/>
      <c r="U104" s="357"/>
      <c r="V104" s="357"/>
      <c r="W104" s="357"/>
    </row>
    <row r="105" spans="1:23" ht="12.75">
      <c r="A105" s="301" t="s">
        <v>24</v>
      </c>
      <c r="B105" s="948" t="str">
        <f t="shared" si="9"/>
        <v>Egyéb szakfel (pl. helyi kisebbségi, választások..)</v>
      </c>
      <c r="C105" s="953"/>
      <c r="D105" s="953"/>
      <c r="E105" s="954"/>
      <c r="F105" s="340"/>
      <c r="G105" s="338"/>
      <c r="H105" s="339"/>
      <c r="I105" s="340"/>
      <c r="J105" s="338"/>
      <c r="K105" s="340"/>
      <c r="L105" s="341"/>
      <c r="M105" s="337"/>
      <c r="N105" s="339"/>
      <c r="O105" s="357"/>
      <c r="P105" s="357"/>
      <c r="Q105" s="357"/>
      <c r="R105" s="357"/>
      <c r="S105" s="357"/>
      <c r="T105" s="357"/>
      <c r="U105" s="357"/>
      <c r="V105" s="357"/>
      <c r="W105" s="357"/>
    </row>
    <row r="106" spans="1:23" ht="13.5" thickBot="1">
      <c r="A106" s="309" t="s">
        <v>25</v>
      </c>
      <c r="B106" s="977"/>
      <c r="C106" s="978"/>
      <c r="D106" s="978"/>
      <c r="E106" s="979"/>
      <c r="F106" s="340"/>
      <c r="G106" s="369"/>
      <c r="H106" s="339"/>
      <c r="I106" s="337"/>
      <c r="J106" s="338"/>
      <c r="K106" s="340"/>
      <c r="L106" s="371"/>
      <c r="M106" s="337"/>
      <c r="N106" s="339"/>
      <c r="O106" s="357"/>
      <c r="P106" s="357"/>
      <c r="Q106" s="357"/>
      <c r="R106" s="357"/>
      <c r="S106" s="357"/>
      <c r="T106" s="357"/>
      <c r="U106" s="357"/>
      <c r="V106" s="357"/>
      <c r="W106" s="357"/>
    </row>
    <row r="107" spans="1:23" ht="14.25" thickBot="1" thickTop="1">
      <c r="A107" s="616" t="s">
        <v>26</v>
      </c>
      <c r="B107" s="964" t="s">
        <v>250</v>
      </c>
      <c r="C107" s="1024"/>
      <c r="D107" s="1024"/>
      <c r="E107" s="1025"/>
      <c r="F107" s="343">
        <f>SUM(F84:F106)</f>
        <v>24956</v>
      </c>
      <c r="G107" s="344">
        <f aca="true" t="shared" si="10" ref="G107:N107">SUM(G84:G106)</f>
        <v>34272</v>
      </c>
      <c r="H107" s="345">
        <f t="shared" si="10"/>
        <v>62500</v>
      </c>
      <c r="I107" s="343">
        <f t="shared" si="10"/>
        <v>57384</v>
      </c>
      <c r="J107" s="344">
        <f t="shared" si="10"/>
        <v>60916</v>
      </c>
      <c r="K107" s="346">
        <f t="shared" si="10"/>
        <v>52600</v>
      </c>
      <c r="L107" s="347">
        <f t="shared" si="10"/>
        <v>355519</v>
      </c>
      <c r="M107" s="344">
        <f t="shared" si="10"/>
        <v>409271</v>
      </c>
      <c r="N107" s="346">
        <f t="shared" si="10"/>
        <v>488221</v>
      </c>
      <c r="O107" s="357"/>
      <c r="P107" s="357"/>
      <c r="Q107" s="357"/>
      <c r="R107" s="357"/>
      <c r="S107" s="357"/>
      <c r="T107" s="357"/>
      <c r="U107" s="357"/>
      <c r="V107" s="357"/>
      <c r="W107" s="357"/>
    </row>
    <row r="108" spans="1:23" ht="13.5" thickTop="1">
      <c r="A108" s="357"/>
      <c r="B108" s="357"/>
      <c r="C108" s="357"/>
      <c r="D108" s="357"/>
      <c r="E108" s="357"/>
      <c r="F108" s="357"/>
      <c r="G108" s="357"/>
      <c r="H108" s="357"/>
      <c r="I108" s="357"/>
      <c r="J108" s="357"/>
      <c r="K108" s="357"/>
      <c r="O108" s="357"/>
      <c r="P108" s="357"/>
      <c r="Q108" s="357"/>
      <c r="R108" s="357"/>
      <c r="S108" s="357"/>
      <c r="T108" s="357"/>
      <c r="U108" s="357"/>
      <c r="V108" s="357"/>
      <c r="W108" s="357"/>
    </row>
    <row r="109" spans="1:23" ht="72.75" customHeight="1">
      <c r="A109" s="357"/>
      <c r="B109" s="357"/>
      <c r="C109" s="357"/>
      <c r="D109" s="357"/>
      <c r="E109" s="357"/>
      <c r="F109" s="357"/>
      <c r="G109" s="357"/>
      <c r="H109" s="357"/>
      <c r="I109" s="357"/>
      <c r="J109" s="357"/>
      <c r="K109" s="357"/>
      <c r="O109" s="357"/>
      <c r="P109" s="357"/>
      <c r="Q109" s="357"/>
      <c r="R109" s="357"/>
      <c r="S109" s="357"/>
      <c r="T109" s="357"/>
      <c r="U109" s="357"/>
      <c r="V109" s="357"/>
      <c r="W109" s="357"/>
    </row>
    <row r="110" spans="1:23" ht="12.75">
      <c r="A110" s="357"/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O110" s="357"/>
      <c r="P110" s="357"/>
      <c r="Q110" s="357"/>
      <c r="R110" s="357"/>
      <c r="S110" s="357"/>
      <c r="T110" s="357"/>
      <c r="U110" s="357"/>
      <c r="V110" s="357"/>
      <c r="W110" s="357"/>
    </row>
    <row r="111" spans="1:23" ht="12.75">
      <c r="A111" s="357"/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O111" s="357"/>
      <c r="P111" s="357"/>
      <c r="Q111" s="357"/>
      <c r="R111" s="357"/>
      <c r="S111" s="357"/>
      <c r="T111" s="357"/>
      <c r="U111" s="357"/>
      <c r="V111" s="357"/>
      <c r="W111" s="357"/>
    </row>
    <row r="112" spans="1:23" ht="13.5" thickBot="1">
      <c r="A112" s="357"/>
      <c r="B112" s="357"/>
      <c r="C112" s="357"/>
      <c r="D112" s="357"/>
      <c r="E112" s="357"/>
      <c r="F112" s="357"/>
      <c r="G112" s="357"/>
      <c r="H112" s="357"/>
      <c r="I112" s="357"/>
      <c r="J112" s="357"/>
      <c r="K112" s="357"/>
      <c r="O112" s="357"/>
      <c r="P112" s="357"/>
      <c r="Q112" s="357"/>
      <c r="R112" s="357"/>
      <c r="S112" s="357"/>
      <c r="T112" s="357"/>
      <c r="U112" s="357"/>
      <c r="V112" s="357"/>
      <c r="W112" s="357"/>
    </row>
    <row r="113" spans="1:23" ht="13.5" thickTop="1">
      <c r="A113" s="920" t="s">
        <v>248</v>
      </c>
      <c r="B113" s="922" t="s">
        <v>249</v>
      </c>
      <c r="C113" s="922"/>
      <c r="D113" s="922"/>
      <c r="E113" s="923"/>
      <c r="F113" s="955" t="s">
        <v>251</v>
      </c>
      <c r="G113" s="956"/>
      <c r="H113" s="956"/>
      <c r="I113" s="956"/>
      <c r="J113" s="956"/>
      <c r="K113" s="956"/>
      <c r="L113" s="956"/>
      <c r="M113" s="956"/>
      <c r="N113" s="957"/>
      <c r="O113" s="357"/>
      <c r="P113" s="357"/>
      <c r="Q113" s="357"/>
      <c r="R113" s="357"/>
      <c r="S113" s="357"/>
      <c r="T113" s="357"/>
      <c r="U113" s="357"/>
      <c r="V113" s="357"/>
      <c r="W113" s="357"/>
    </row>
    <row r="114" spans="1:23" ht="13.5" thickBot="1">
      <c r="A114" s="921"/>
      <c r="B114" s="924"/>
      <c r="C114" s="924"/>
      <c r="D114" s="924"/>
      <c r="E114" s="925"/>
      <c r="F114" s="958" t="s">
        <v>263</v>
      </c>
      <c r="G114" s="959"/>
      <c r="H114" s="960"/>
      <c r="I114" s="961" t="s">
        <v>264</v>
      </c>
      <c r="J114" s="962"/>
      <c r="K114" s="963"/>
      <c r="L114" s="961" t="s">
        <v>269</v>
      </c>
      <c r="M114" s="962"/>
      <c r="N114" s="963"/>
      <c r="O114" s="357"/>
      <c r="P114" s="357"/>
      <c r="Q114" s="357"/>
      <c r="R114" s="357"/>
      <c r="S114" s="357"/>
      <c r="T114" s="357"/>
      <c r="U114" s="357"/>
      <c r="V114" s="357"/>
      <c r="W114" s="357"/>
    </row>
    <row r="115" spans="1:23" ht="13.5" thickTop="1">
      <c r="A115" s="921"/>
      <c r="B115" s="924"/>
      <c r="C115" s="924"/>
      <c r="D115" s="924"/>
      <c r="E115" s="925"/>
      <c r="F115" s="931" t="s">
        <v>253</v>
      </c>
      <c r="G115" s="934" t="s">
        <v>265</v>
      </c>
      <c r="H115" s="937" t="s">
        <v>266</v>
      </c>
      <c r="I115" s="945" t="s">
        <v>253</v>
      </c>
      <c r="J115" s="934" t="s">
        <v>265</v>
      </c>
      <c r="K115" s="937" t="s">
        <v>266</v>
      </c>
      <c r="L115" s="931" t="s">
        <v>554</v>
      </c>
      <c r="M115" s="967"/>
      <c r="N115" s="937" t="s">
        <v>266</v>
      </c>
      <c r="O115" s="357"/>
      <c r="P115" s="357"/>
      <c r="Q115" s="357"/>
      <c r="R115" s="357"/>
      <c r="S115" s="357"/>
      <c r="T115" s="357"/>
      <c r="U115" s="357"/>
      <c r="V115" s="357"/>
      <c r="W115" s="357"/>
    </row>
    <row r="116" spans="1:23" ht="12.75">
      <c r="A116" s="921"/>
      <c r="B116" s="924"/>
      <c r="C116" s="924"/>
      <c r="D116" s="924"/>
      <c r="E116" s="925"/>
      <c r="F116" s="932"/>
      <c r="G116" s="935"/>
      <c r="H116" s="938"/>
      <c r="I116" s="946"/>
      <c r="J116" s="935"/>
      <c r="K116" s="938"/>
      <c r="L116" s="932"/>
      <c r="M116" s="969"/>
      <c r="N116" s="938"/>
      <c r="O116" s="357"/>
      <c r="P116" s="357"/>
      <c r="Q116" s="357"/>
      <c r="R116" s="357"/>
      <c r="S116" s="357"/>
      <c r="T116" s="357"/>
      <c r="U116" s="357"/>
      <c r="V116" s="357"/>
      <c r="W116" s="357"/>
    </row>
    <row r="117" spans="1:23" ht="13.5" thickBot="1">
      <c r="A117" s="921"/>
      <c r="B117" s="940"/>
      <c r="C117" s="941"/>
      <c r="D117" s="941"/>
      <c r="E117" s="942"/>
      <c r="F117" s="933"/>
      <c r="G117" s="936"/>
      <c r="H117" s="939"/>
      <c r="I117" s="947"/>
      <c r="J117" s="936"/>
      <c r="K117" s="939"/>
      <c r="L117" s="933"/>
      <c r="M117" s="971"/>
      <c r="N117" s="939"/>
      <c r="O117" s="357"/>
      <c r="P117" s="357"/>
      <c r="Q117" s="357"/>
      <c r="R117" s="357"/>
      <c r="S117" s="357"/>
      <c r="T117" s="357"/>
      <c r="U117" s="357"/>
      <c r="V117" s="357"/>
      <c r="W117" s="357"/>
    </row>
    <row r="118" spans="1:23" ht="13.5" thickTop="1">
      <c r="A118" s="301" t="s">
        <v>3</v>
      </c>
      <c r="B118" s="948" t="s">
        <v>270</v>
      </c>
      <c r="C118" s="949"/>
      <c r="D118" s="949"/>
      <c r="E118" s="950"/>
      <c r="F118" s="340"/>
      <c r="G118" s="368"/>
      <c r="H118" s="339"/>
      <c r="I118" s="340"/>
      <c r="J118" s="338"/>
      <c r="K118" s="340"/>
      <c r="L118" s="972"/>
      <c r="M118" s="973"/>
      <c r="N118" s="339">
        <v>1</v>
      </c>
      <c r="O118" s="357"/>
      <c r="P118" s="357"/>
      <c r="Q118" s="357"/>
      <c r="R118" s="357"/>
      <c r="S118" s="357"/>
      <c r="T118" s="357"/>
      <c r="U118" s="357"/>
      <c r="V118" s="357"/>
      <c r="W118" s="357"/>
    </row>
    <row r="119" spans="1:23" ht="12.75">
      <c r="A119" s="301" t="s">
        <v>4</v>
      </c>
      <c r="B119" s="948" t="s">
        <v>255</v>
      </c>
      <c r="C119" s="953"/>
      <c r="D119" s="953"/>
      <c r="E119" s="954"/>
      <c r="F119" s="340"/>
      <c r="G119" s="338"/>
      <c r="H119" s="339"/>
      <c r="I119" s="340">
        <v>211170</v>
      </c>
      <c r="J119" s="338">
        <v>361000</v>
      </c>
      <c r="K119" s="340"/>
      <c r="L119" s="980"/>
      <c r="M119" s="981"/>
      <c r="N119" s="339"/>
      <c r="O119" s="357"/>
      <c r="P119" s="357"/>
      <c r="Q119" s="357"/>
      <c r="R119" s="357"/>
      <c r="S119" s="357"/>
      <c r="T119" s="357"/>
      <c r="U119" s="357"/>
      <c r="V119" s="357"/>
      <c r="W119" s="357"/>
    </row>
    <row r="120" spans="1:23" ht="12.75">
      <c r="A120" s="301" t="s">
        <v>5</v>
      </c>
      <c r="B120" s="948" t="s">
        <v>271</v>
      </c>
      <c r="C120" s="949"/>
      <c r="D120" s="949"/>
      <c r="E120" s="950"/>
      <c r="F120" s="340"/>
      <c r="G120" s="338">
        <v>1000</v>
      </c>
      <c r="H120" s="339">
        <v>250</v>
      </c>
      <c r="I120" s="340"/>
      <c r="J120" s="338"/>
      <c r="K120" s="340"/>
      <c r="L120" s="980"/>
      <c r="M120" s="981"/>
      <c r="N120" s="339">
        <v>10</v>
      </c>
      <c r="O120" s="357"/>
      <c r="P120" s="357"/>
      <c r="Q120" s="357"/>
      <c r="R120" s="357"/>
      <c r="S120" s="357"/>
      <c r="T120" s="357"/>
      <c r="U120" s="357"/>
      <c r="V120" s="357"/>
      <c r="W120" s="357"/>
    </row>
    <row r="121" spans="1:23" ht="12.75">
      <c r="A121" s="301" t="s">
        <v>6</v>
      </c>
      <c r="B121" s="948" t="s">
        <v>272</v>
      </c>
      <c r="C121" s="949"/>
      <c r="D121" s="949"/>
      <c r="E121" s="950"/>
      <c r="F121" s="340"/>
      <c r="G121" s="338"/>
      <c r="H121" s="339"/>
      <c r="I121" s="340"/>
      <c r="J121" s="338"/>
      <c r="K121" s="340"/>
      <c r="L121" s="980"/>
      <c r="M121" s="981"/>
      <c r="N121" s="339"/>
      <c r="O121" s="357"/>
      <c r="P121" s="357"/>
      <c r="Q121" s="357"/>
      <c r="R121" s="357"/>
      <c r="S121" s="357"/>
      <c r="T121" s="357"/>
      <c r="U121" s="357"/>
      <c r="V121" s="357"/>
      <c r="W121" s="357"/>
    </row>
    <row r="122" spans="1:23" ht="12.75">
      <c r="A122" s="301" t="s">
        <v>7</v>
      </c>
      <c r="B122" s="948" t="s">
        <v>273</v>
      </c>
      <c r="C122" s="949"/>
      <c r="D122" s="949"/>
      <c r="E122" s="950"/>
      <c r="F122" s="340">
        <v>15384</v>
      </c>
      <c r="G122" s="338">
        <v>14400</v>
      </c>
      <c r="H122" s="339">
        <v>1200</v>
      </c>
      <c r="I122" s="340">
        <v>140091</v>
      </c>
      <c r="J122" s="338">
        <v>54920</v>
      </c>
      <c r="K122" s="340">
        <f>'8.beruházás'!D4</f>
        <v>319024</v>
      </c>
      <c r="L122" s="980"/>
      <c r="M122" s="981"/>
      <c r="N122" s="339">
        <v>39</v>
      </c>
      <c r="O122" s="357"/>
      <c r="P122" s="357"/>
      <c r="Q122" s="357"/>
      <c r="R122" s="357"/>
      <c r="S122" s="357"/>
      <c r="T122" s="357"/>
      <c r="U122" s="357"/>
      <c r="V122" s="357"/>
      <c r="W122" s="357"/>
    </row>
    <row r="123" spans="1:23" ht="12.75">
      <c r="A123" s="301" t="s">
        <v>8</v>
      </c>
      <c r="B123" s="948" t="s">
        <v>274</v>
      </c>
      <c r="C123" s="951"/>
      <c r="D123" s="951"/>
      <c r="E123" s="952"/>
      <c r="F123" s="340"/>
      <c r="G123" s="338"/>
      <c r="H123" s="339"/>
      <c r="I123" s="340"/>
      <c r="J123" s="338"/>
      <c r="K123" s="340"/>
      <c r="L123" s="980"/>
      <c r="M123" s="981"/>
      <c r="N123" s="339"/>
      <c r="O123" s="357"/>
      <c r="P123" s="357"/>
      <c r="Q123" s="357"/>
      <c r="R123" s="357"/>
      <c r="S123" s="357"/>
      <c r="T123" s="357"/>
      <c r="U123" s="357"/>
      <c r="V123" s="357"/>
      <c r="W123" s="357"/>
    </row>
    <row r="124" spans="1:23" ht="12.75">
      <c r="A124" s="301" t="s">
        <v>9</v>
      </c>
      <c r="B124" s="948" t="str">
        <f aca="true" t="shared" si="11" ref="B124:B139">B15</f>
        <v>Közvilágítási feladatok</v>
      </c>
      <c r="C124" s="953"/>
      <c r="D124" s="953"/>
      <c r="E124" s="954"/>
      <c r="F124" s="340"/>
      <c r="G124" s="338"/>
      <c r="H124" s="339"/>
      <c r="I124" s="340"/>
      <c r="J124" s="338"/>
      <c r="K124" s="340"/>
      <c r="L124" s="980"/>
      <c r="M124" s="981"/>
      <c r="N124" s="339"/>
      <c r="O124" s="357"/>
      <c r="P124" s="357"/>
      <c r="Q124" s="357"/>
      <c r="R124" s="357"/>
      <c r="S124" s="357"/>
      <c r="T124" s="357"/>
      <c r="U124" s="357"/>
      <c r="V124" s="357"/>
      <c r="W124" s="357"/>
    </row>
    <row r="125" spans="1:23" ht="12.75">
      <c r="A125" s="301" t="s">
        <v>10</v>
      </c>
      <c r="B125" s="948" t="str">
        <f t="shared" si="11"/>
        <v>Általános iskolának átadott pénzeszköz</v>
      </c>
      <c r="C125" s="953"/>
      <c r="D125" s="953"/>
      <c r="E125" s="954"/>
      <c r="F125" s="340"/>
      <c r="G125" s="338"/>
      <c r="H125" s="339"/>
      <c r="I125" s="340"/>
      <c r="J125" s="338"/>
      <c r="K125" s="340"/>
      <c r="L125" s="980"/>
      <c r="M125" s="981"/>
      <c r="N125" s="339"/>
      <c r="O125" s="357"/>
      <c r="P125" s="357"/>
      <c r="Q125" s="357"/>
      <c r="R125" s="357"/>
      <c r="S125" s="357"/>
      <c r="T125" s="357"/>
      <c r="U125" s="357"/>
      <c r="V125" s="357"/>
      <c r="W125" s="357"/>
    </row>
    <row r="126" spans="1:23" ht="12.75">
      <c r="A126" s="301" t="s">
        <v>11</v>
      </c>
      <c r="B126" s="948" t="str">
        <f t="shared" si="11"/>
        <v>Finanszírozási műveletek elszámolása (rul. Hitel)</v>
      </c>
      <c r="C126" s="953"/>
      <c r="D126" s="953"/>
      <c r="E126" s="954"/>
      <c r="F126" s="340"/>
      <c r="G126" s="338"/>
      <c r="H126" s="339"/>
      <c r="I126" s="340"/>
      <c r="J126" s="338"/>
      <c r="K126" s="340"/>
      <c r="L126" s="980"/>
      <c r="M126" s="981"/>
      <c r="N126" s="339"/>
      <c r="O126" s="357"/>
      <c r="P126" s="357"/>
      <c r="Q126" s="357"/>
      <c r="R126" s="357"/>
      <c r="S126" s="357"/>
      <c r="T126" s="357"/>
      <c r="U126" s="357"/>
      <c r="V126" s="357"/>
      <c r="W126" s="357"/>
    </row>
    <row r="127" spans="1:23" ht="12.75">
      <c r="A127" s="301" t="s">
        <v>12</v>
      </c>
      <c r="B127" s="948" t="str">
        <f t="shared" si="11"/>
        <v>Óvodai nevelés</v>
      </c>
      <c r="C127" s="953"/>
      <c r="D127" s="953"/>
      <c r="E127" s="954"/>
      <c r="F127" s="340"/>
      <c r="G127" s="338"/>
      <c r="H127" s="339"/>
      <c r="I127" s="340">
        <v>271</v>
      </c>
      <c r="J127" s="338">
        <v>250</v>
      </c>
      <c r="K127" s="340">
        <v>1000</v>
      </c>
      <c r="L127" s="980"/>
      <c r="M127" s="981"/>
      <c r="N127" s="339">
        <v>41</v>
      </c>
      <c r="O127" s="357"/>
      <c r="P127" s="357"/>
      <c r="Q127" s="357"/>
      <c r="R127" s="357"/>
      <c r="S127" s="357"/>
      <c r="T127" s="357"/>
      <c r="U127" s="357"/>
      <c r="V127" s="357"/>
      <c r="W127" s="357"/>
    </row>
    <row r="128" spans="1:23" ht="12.75">
      <c r="A128" s="301" t="s">
        <v>13</v>
      </c>
      <c r="B128" s="948" t="str">
        <f t="shared" si="11"/>
        <v>Háziorvosi szolgálat</v>
      </c>
      <c r="C128" s="953"/>
      <c r="D128" s="953"/>
      <c r="E128" s="954"/>
      <c r="F128" s="340"/>
      <c r="G128" s="338"/>
      <c r="H128" s="339"/>
      <c r="I128" s="340"/>
      <c r="J128" s="338"/>
      <c r="K128" s="340"/>
      <c r="L128" s="980"/>
      <c r="M128" s="981"/>
      <c r="N128" s="339">
        <v>1</v>
      </c>
      <c r="O128" s="357"/>
      <c r="P128" s="357"/>
      <c r="Q128" s="357"/>
      <c r="R128" s="357"/>
      <c r="S128" s="357"/>
      <c r="T128" s="357"/>
      <c r="U128" s="357"/>
      <c r="V128" s="357"/>
      <c r="W128" s="357"/>
    </row>
    <row r="129" spans="1:23" ht="12.75">
      <c r="A129" s="301" t="s">
        <v>14</v>
      </c>
      <c r="B129" s="948" t="str">
        <f t="shared" si="11"/>
        <v>Kiegészítő alapellátási szolgáltatások</v>
      </c>
      <c r="C129" s="953"/>
      <c r="D129" s="953"/>
      <c r="E129" s="954"/>
      <c r="F129" s="340"/>
      <c r="G129" s="338"/>
      <c r="H129" s="339"/>
      <c r="I129" s="340"/>
      <c r="J129" s="338"/>
      <c r="K129" s="340"/>
      <c r="L129" s="980"/>
      <c r="M129" s="981"/>
      <c r="N129" s="339">
        <v>3</v>
      </c>
      <c r="O129" s="357"/>
      <c r="P129" s="357"/>
      <c r="Q129" s="357"/>
      <c r="R129" s="357"/>
      <c r="S129" s="357"/>
      <c r="T129" s="357"/>
      <c r="U129" s="357"/>
      <c r="V129" s="357"/>
      <c r="W129" s="357"/>
    </row>
    <row r="130" spans="1:23" ht="12.75">
      <c r="A130" s="301" t="s">
        <v>15</v>
      </c>
      <c r="B130" s="948" t="str">
        <f t="shared" si="11"/>
        <v>Védőnői szolgálat</v>
      </c>
      <c r="C130" s="953"/>
      <c r="D130" s="953"/>
      <c r="E130" s="954"/>
      <c r="F130" s="340"/>
      <c r="G130" s="338"/>
      <c r="H130" s="339"/>
      <c r="I130" s="340"/>
      <c r="J130" s="338"/>
      <c r="K130" s="340"/>
      <c r="L130" s="980"/>
      <c r="M130" s="981"/>
      <c r="N130" s="339">
        <v>4</v>
      </c>
      <c r="O130" s="357"/>
      <c r="P130" s="357"/>
      <c r="Q130" s="357"/>
      <c r="R130" s="357"/>
      <c r="S130" s="357"/>
      <c r="T130" s="357"/>
      <c r="U130" s="357"/>
      <c r="V130" s="357"/>
      <c r="W130" s="357"/>
    </row>
    <row r="131" spans="1:23" ht="12.75">
      <c r="A131" s="301" t="s">
        <v>16</v>
      </c>
      <c r="B131" s="948" t="str">
        <f t="shared" si="11"/>
        <v>Állategészségügy</v>
      </c>
      <c r="C131" s="953"/>
      <c r="D131" s="953"/>
      <c r="E131" s="954"/>
      <c r="F131" s="340">
        <v>840</v>
      </c>
      <c r="G131" s="338"/>
      <c r="H131" s="339"/>
      <c r="I131" s="340"/>
      <c r="J131" s="338"/>
      <c r="K131" s="340"/>
      <c r="L131" s="980"/>
      <c r="M131" s="981"/>
      <c r="N131" s="339"/>
      <c r="O131" s="357"/>
      <c r="P131" s="357"/>
      <c r="Q131" s="357"/>
      <c r="R131" s="357"/>
      <c r="S131" s="357"/>
      <c r="T131" s="357"/>
      <c r="U131" s="357"/>
      <c r="V131" s="357"/>
      <c r="W131" s="357"/>
    </row>
    <row r="132" spans="1:23" ht="12.75">
      <c r="A132" s="301" t="s">
        <v>17</v>
      </c>
      <c r="B132" s="948" t="str">
        <f t="shared" si="11"/>
        <v>Szociális étkeztetés</v>
      </c>
      <c r="C132" s="953"/>
      <c r="D132" s="953"/>
      <c r="E132" s="954"/>
      <c r="F132" s="340"/>
      <c r="G132" s="338"/>
      <c r="H132" s="339"/>
      <c r="I132" s="340"/>
      <c r="J132" s="338"/>
      <c r="K132" s="340"/>
      <c r="L132" s="980"/>
      <c r="M132" s="981"/>
      <c r="N132" s="339"/>
      <c r="O132" s="357"/>
      <c r="P132" s="357"/>
      <c r="Q132" s="357"/>
      <c r="R132" s="357"/>
      <c r="S132" s="357"/>
      <c r="T132" s="357"/>
      <c r="U132" s="357"/>
      <c r="V132" s="357"/>
      <c r="W132" s="357"/>
    </row>
    <row r="133" spans="1:23" ht="12.75">
      <c r="A133" s="301" t="s">
        <v>18</v>
      </c>
      <c r="B133" s="948" t="str">
        <f t="shared" si="11"/>
        <v>Rendszeres szoc. Pénzbeni ellátás</v>
      </c>
      <c r="C133" s="953"/>
      <c r="D133" s="953"/>
      <c r="E133" s="954"/>
      <c r="F133" s="340"/>
      <c r="G133" s="338"/>
      <c r="H133" s="339"/>
      <c r="I133" s="340"/>
      <c r="J133" s="342"/>
      <c r="K133" s="340"/>
      <c r="L133" s="980"/>
      <c r="M133" s="981"/>
      <c r="N133" s="339"/>
      <c r="O133" s="357"/>
      <c r="P133" s="357"/>
      <c r="Q133" s="357"/>
      <c r="R133" s="357"/>
      <c r="S133" s="357"/>
      <c r="T133" s="357"/>
      <c r="U133" s="357"/>
      <c r="V133" s="357"/>
      <c r="W133" s="357"/>
    </row>
    <row r="134" spans="1:23" ht="12.75">
      <c r="A134" s="301" t="s">
        <v>19</v>
      </c>
      <c r="B134" s="948" t="str">
        <f t="shared" si="11"/>
        <v>Rendszeres gyermekvédelmi pénzb. Ellátás</v>
      </c>
      <c r="C134" s="953"/>
      <c r="D134" s="953"/>
      <c r="E134" s="954"/>
      <c r="F134" s="340"/>
      <c r="G134" s="338"/>
      <c r="H134" s="339"/>
      <c r="I134" s="340"/>
      <c r="J134" s="338"/>
      <c r="K134" s="340"/>
      <c r="L134" s="980"/>
      <c r="M134" s="981"/>
      <c r="N134" s="339"/>
      <c r="O134" s="357"/>
      <c r="P134" s="357"/>
      <c r="Q134" s="357"/>
      <c r="R134" s="357"/>
      <c r="S134" s="357"/>
      <c r="T134" s="357"/>
      <c r="U134" s="357"/>
      <c r="V134" s="357"/>
      <c r="W134" s="357"/>
    </row>
    <row r="135" spans="1:23" ht="12.75">
      <c r="A135" s="301" t="s">
        <v>20</v>
      </c>
      <c r="B135" s="948" t="str">
        <f t="shared" si="11"/>
        <v>Munkanélküli ellátások</v>
      </c>
      <c r="C135" s="953"/>
      <c r="D135" s="953"/>
      <c r="E135" s="954"/>
      <c r="F135" s="340"/>
      <c r="G135" s="338"/>
      <c r="H135" s="339"/>
      <c r="I135" s="340"/>
      <c r="J135" s="338"/>
      <c r="K135" s="340"/>
      <c r="L135" s="980"/>
      <c r="M135" s="981"/>
      <c r="N135" s="339"/>
      <c r="O135" s="357"/>
      <c r="P135" s="357"/>
      <c r="Q135" s="357"/>
      <c r="R135" s="357"/>
      <c r="S135" s="357"/>
      <c r="T135" s="357"/>
      <c r="U135" s="357"/>
      <c r="V135" s="357"/>
      <c r="W135" s="357"/>
    </row>
    <row r="136" spans="1:23" ht="12.75">
      <c r="A136" s="301" t="s">
        <v>21</v>
      </c>
      <c r="B136" s="948" t="str">
        <f t="shared" si="11"/>
        <v>Eseti pénzbeli szociális ellátások</v>
      </c>
      <c r="C136" s="953"/>
      <c r="D136" s="953"/>
      <c r="E136" s="954"/>
      <c r="F136" s="340"/>
      <c r="G136" s="338"/>
      <c r="H136" s="339"/>
      <c r="I136" s="340"/>
      <c r="J136" s="338"/>
      <c r="K136" s="340"/>
      <c r="L136" s="980"/>
      <c r="M136" s="981"/>
      <c r="N136" s="339"/>
      <c r="O136" s="357"/>
      <c r="P136" s="357"/>
      <c r="Q136" s="357"/>
      <c r="R136" s="357"/>
      <c r="S136" s="357"/>
      <c r="T136" s="357"/>
      <c r="U136" s="357"/>
      <c r="V136" s="357"/>
      <c r="W136" s="357"/>
    </row>
    <row r="137" spans="1:23" ht="12.75">
      <c r="A137" s="301" t="s">
        <v>22</v>
      </c>
      <c r="B137" s="948" t="str">
        <f t="shared" si="11"/>
        <v>Eseti pénzbeni gyermekvédelmi ellátások</v>
      </c>
      <c r="C137" s="953"/>
      <c r="D137" s="953"/>
      <c r="E137" s="954"/>
      <c r="F137" s="340"/>
      <c r="G137" s="338"/>
      <c r="H137" s="339"/>
      <c r="I137" s="340"/>
      <c r="J137" s="338"/>
      <c r="K137" s="340"/>
      <c r="L137" s="980"/>
      <c r="M137" s="981"/>
      <c r="N137" s="339"/>
      <c r="O137" s="357"/>
      <c r="P137" s="357"/>
      <c r="Q137" s="357"/>
      <c r="R137" s="357"/>
      <c r="S137" s="357"/>
      <c r="T137" s="357"/>
      <c r="U137" s="357"/>
      <c r="V137" s="357"/>
      <c r="W137" s="357"/>
    </row>
    <row r="138" spans="1:23" ht="12.75">
      <c r="A138" s="301" t="s">
        <v>23</v>
      </c>
      <c r="B138" s="948" t="str">
        <f t="shared" si="11"/>
        <v>Közművelődési könyvtári tevékenység</v>
      </c>
      <c r="C138" s="953"/>
      <c r="D138" s="953"/>
      <c r="E138" s="954"/>
      <c r="F138" s="340"/>
      <c r="G138" s="338">
        <v>300</v>
      </c>
      <c r="H138" s="339">
        <v>900</v>
      </c>
      <c r="I138" s="340"/>
      <c r="J138" s="338">
        <v>432</v>
      </c>
      <c r="K138" s="340">
        <v>300</v>
      </c>
      <c r="L138" s="980">
        <v>2</v>
      </c>
      <c r="M138" s="981"/>
      <c r="N138" s="339">
        <v>2</v>
      </c>
      <c r="O138" s="357"/>
      <c r="P138" s="357"/>
      <c r="Q138" s="357"/>
      <c r="R138" s="357"/>
      <c r="S138" s="357"/>
      <c r="T138" s="357"/>
      <c r="U138" s="357"/>
      <c r="V138" s="357"/>
      <c r="W138" s="357"/>
    </row>
    <row r="139" spans="1:23" ht="12.75">
      <c r="A139" s="301" t="s">
        <v>24</v>
      </c>
      <c r="B139" s="948" t="str">
        <f t="shared" si="11"/>
        <v>Egyéb szakfel (pl. helyi kisebbségi, választások..)</v>
      </c>
      <c r="C139" s="953"/>
      <c r="D139" s="953"/>
      <c r="E139" s="954"/>
      <c r="F139" s="340"/>
      <c r="G139" s="338"/>
      <c r="H139" s="339"/>
      <c r="I139" s="340"/>
      <c r="J139" s="338"/>
      <c r="K139" s="340"/>
      <c r="L139" s="980"/>
      <c r="M139" s="981"/>
      <c r="N139" s="339"/>
      <c r="O139" s="357"/>
      <c r="P139" s="357"/>
      <c r="Q139" s="357"/>
      <c r="R139" s="357"/>
      <c r="S139" s="357"/>
      <c r="T139" s="357"/>
      <c r="U139" s="357"/>
      <c r="V139" s="357"/>
      <c r="W139" s="357"/>
    </row>
    <row r="140" spans="1:23" ht="13.5" thickBot="1">
      <c r="A140" s="309" t="s">
        <v>25</v>
      </c>
      <c r="B140" s="977"/>
      <c r="C140" s="978"/>
      <c r="D140" s="978"/>
      <c r="E140" s="979"/>
      <c r="F140" s="340"/>
      <c r="G140" s="369"/>
      <c r="H140" s="339"/>
      <c r="I140" s="337"/>
      <c r="J140" s="338"/>
      <c r="K140" s="340"/>
      <c r="L140" s="982"/>
      <c r="M140" s="1028"/>
      <c r="N140" s="339"/>
      <c r="O140" s="357"/>
      <c r="P140" s="357"/>
      <c r="Q140" s="357"/>
      <c r="R140" s="357"/>
      <c r="S140" s="357"/>
      <c r="T140" s="357"/>
      <c r="U140" s="357"/>
      <c r="V140" s="357"/>
      <c r="W140" s="357"/>
    </row>
    <row r="141" spans="1:23" ht="14.25" thickBot="1" thickTop="1">
      <c r="A141" s="312" t="s">
        <v>26</v>
      </c>
      <c r="B141" s="964" t="s">
        <v>261</v>
      </c>
      <c r="C141" s="1024"/>
      <c r="D141" s="1024"/>
      <c r="E141" s="1025"/>
      <c r="F141" s="343">
        <f>SUM(F118:F140)</f>
        <v>16224</v>
      </c>
      <c r="G141" s="344">
        <f aca="true" t="shared" si="12" ref="G141:N141">SUM(G118:G140)</f>
        <v>15700</v>
      </c>
      <c r="H141" s="345">
        <f t="shared" si="12"/>
        <v>2350</v>
      </c>
      <c r="I141" s="343">
        <f t="shared" si="12"/>
        <v>351532</v>
      </c>
      <c r="J141" s="344">
        <f t="shared" si="12"/>
        <v>416602</v>
      </c>
      <c r="K141" s="346">
        <f t="shared" si="12"/>
        <v>320324</v>
      </c>
      <c r="L141" s="1026">
        <f t="shared" si="12"/>
        <v>2</v>
      </c>
      <c r="M141" s="1027"/>
      <c r="N141" s="346">
        <f t="shared" si="12"/>
        <v>101</v>
      </c>
      <c r="O141" s="357"/>
      <c r="P141" s="357"/>
      <c r="Q141" s="357"/>
      <c r="R141" s="357"/>
      <c r="S141" s="357"/>
      <c r="T141" s="357"/>
      <c r="U141" s="357"/>
      <c r="V141" s="357"/>
      <c r="W141" s="357"/>
    </row>
    <row r="142" spans="1:11" ht="13.5" thickTop="1">
      <c r="A142" s="357"/>
      <c r="B142" s="357"/>
      <c r="C142" s="357"/>
      <c r="D142" s="357"/>
      <c r="E142" s="357"/>
      <c r="F142" s="357"/>
      <c r="G142" s="357"/>
      <c r="H142" s="357"/>
      <c r="I142" s="357"/>
      <c r="J142" s="357"/>
      <c r="K142" s="357"/>
    </row>
    <row r="143" spans="1:11" ht="12.75">
      <c r="A143" s="357"/>
      <c r="B143" s="357"/>
      <c r="C143" s="357"/>
      <c r="D143" s="357"/>
      <c r="E143" s="357"/>
      <c r="F143" s="357"/>
      <c r="G143" s="357"/>
      <c r="H143" s="357"/>
      <c r="I143" s="357"/>
      <c r="J143" s="357"/>
      <c r="K143" s="357"/>
    </row>
    <row r="144" spans="1:11" ht="12.75">
      <c r="A144" s="357"/>
      <c r="B144" s="357"/>
      <c r="C144" s="357"/>
      <c r="D144" s="357"/>
      <c r="E144" s="357"/>
      <c r="F144" s="357"/>
      <c r="G144" s="357"/>
      <c r="H144" s="357"/>
      <c r="I144" s="357"/>
      <c r="J144" s="357"/>
      <c r="K144" s="357"/>
    </row>
    <row r="145" spans="1:11" ht="12.75">
      <c r="A145" s="357"/>
      <c r="B145" s="357"/>
      <c r="C145" s="357"/>
      <c r="D145" s="357"/>
      <c r="E145" s="357"/>
      <c r="F145" s="357"/>
      <c r="G145" s="357"/>
      <c r="H145" s="357"/>
      <c r="I145" s="357"/>
      <c r="J145" s="357"/>
      <c r="K145" s="357"/>
    </row>
    <row r="146" spans="1:11" ht="12.75">
      <c r="A146" s="357"/>
      <c r="B146" s="357"/>
      <c r="C146" s="357"/>
      <c r="D146" s="357"/>
      <c r="E146" s="357"/>
      <c r="F146" s="357"/>
      <c r="G146" s="357"/>
      <c r="H146" s="357"/>
      <c r="I146" s="357"/>
      <c r="J146" s="357"/>
      <c r="K146" s="357"/>
    </row>
    <row r="147" spans="1:11" ht="12.75">
      <c r="A147" s="357"/>
      <c r="B147" s="357"/>
      <c r="C147" s="357"/>
      <c r="D147" s="357"/>
      <c r="E147" s="357"/>
      <c r="F147" s="357"/>
      <c r="G147" s="357"/>
      <c r="H147" s="357"/>
      <c r="I147" s="357"/>
      <c r="J147" s="357"/>
      <c r="K147" s="357"/>
    </row>
    <row r="148" spans="1:11" ht="12.75">
      <c r="A148" s="357"/>
      <c r="B148" s="357"/>
      <c r="C148" s="357"/>
      <c r="D148" s="357"/>
      <c r="E148" s="357"/>
      <c r="F148" s="357"/>
      <c r="G148" s="357"/>
      <c r="H148" s="357"/>
      <c r="I148" s="357"/>
      <c r="J148" s="357"/>
      <c r="K148" s="357"/>
    </row>
    <row r="149" spans="1:11" ht="12.75">
      <c r="A149" s="357"/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</row>
    <row r="150" spans="1:11" ht="12.75">
      <c r="A150" s="357"/>
      <c r="B150" s="357"/>
      <c r="C150" s="357"/>
      <c r="D150" s="357"/>
      <c r="E150" s="357"/>
      <c r="F150" s="357"/>
      <c r="G150" s="357"/>
      <c r="H150" s="357"/>
      <c r="I150" s="357"/>
      <c r="J150" s="357"/>
      <c r="K150" s="357"/>
    </row>
    <row r="151" spans="1:11" ht="12.75">
      <c r="A151" s="357"/>
      <c r="B151" s="357"/>
      <c r="C151" s="357"/>
      <c r="D151" s="357"/>
      <c r="E151" s="357"/>
      <c r="F151" s="357"/>
      <c r="G151" s="357"/>
      <c r="H151" s="357"/>
      <c r="I151" s="357"/>
      <c r="J151" s="357"/>
      <c r="K151" s="357"/>
    </row>
    <row r="152" spans="1:11" ht="12.75">
      <c r="A152" s="357"/>
      <c r="B152" s="357"/>
      <c r="C152" s="357"/>
      <c r="D152" s="357"/>
      <c r="E152" s="357"/>
      <c r="F152" s="357"/>
      <c r="G152" s="357"/>
      <c r="H152" s="357"/>
      <c r="I152" s="357"/>
      <c r="J152" s="357"/>
      <c r="K152" s="357"/>
    </row>
    <row r="153" spans="1:11" ht="12.75">
      <c r="A153" s="357"/>
      <c r="B153" s="357"/>
      <c r="C153" s="357"/>
      <c r="D153" s="357"/>
      <c r="E153" s="357"/>
      <c r="F153" s="357"/>
      <c r="G153" s="357"/>
      <c r="H153" s="357"/>
      <c r="I153" s="357"/>
      <c r="J153" s="357"/>
      <c r="K153" s="357"/>
    </row>
    <row r="154" spans="1:11" ht="12.75">
      <c r="A154" s="357"/>
      <c r="B154" s="357"/>
      <c r="C154" s="357"/>
      <c r="D154" s="357"/>
      <c r="E154" s="357"/>
      <c r="F154" s="357"/>
      <c r="G154" s="357"/>
      <c r="H154" s="357"/>
      <c r="I154" s="357"/>
      <c r="J154" s="357"/>
      <c r="K154" s="357"/>
    </row>
    <row r="155" spans="1:11" ht="12.75">
      <c r="A155" s="357"/>
      <c r="B155" s="357"/>
      <c r="C155" s="357"/>
      <c r="D155" s="357"/>
      <c r="E155" s="357"/>
      <c r="F155" s="357"/>
      <c r="G155" s="357"/>
      <c r="H155" s="357"/>
      <c r="I155" s="357"/>
      <c r="J155" s="357"/>
      <c r="K155" s="357"/>
    </row>
    <row r="156" spans="1:11" ht="12.75">
      <c r="A156" s="357"/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</row>
    <row r="157" spans="1:11" ht="12.75">
      <c r="A157" s="357"/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</row>
    <row r="158" spans="1:11" ht="12.75">
      <c r="A158" s="357"/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</row>
    <row r="159" spans="1:11" ht="12.75">
      <c r="A159" s="357"/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</row>
    <row r="160" spans="1:11" ht="12.75">
      <c r="A160" s="357"/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</row>
    <row r="161" spans="1:11" ht="12.75">
      <c r="A161" s="357"/>
      <c r="B161" s="357"/>
      <c r="C161" s="357"/>
      <c r="D161" s="357"/>
      <c r="E161" s="357"/>
      <c r="F161" s="357"/>
      <c r="G161" s="357"/>
      <c r="H161" s="357"/>
      <c r="I161" s="357"/>
      <c r="J161" s="357"/>
      <c r="K161" s="357"/>
    </row>
    <row r="162" spans="1:11" ht="12.75">
      <c r="A162" s="357"/>
      <c r="B162" s="357"/>
      <c r="C162" s="357"/>
      <c r="D162" s="357"/>
      <c r="E162" s="357"/>
      <c r="F162" s="357"/>
      <c r="G162" s="357"/>
      <c r="H162" s="357"/>
      <c r="I162" s="357"/>
      <c r="J162" s="357"/>
      <c r="K162" s="357"/>
    </row>
    <row r="163" spans="1:11" ht="12.75">
      <c r="A163" s="357"/>
      <c r="B163" s="357"/>
      <c r="C163" s="357"/>
      <c r="D163" s="357"/>
      <c r="E163" s="357"/>
      <c r="F163" s="357"/>
      <c r="G163" s="357"/>
      <c r="H163" s="357"/>
      <c r="I163" s="357"/>
      <c r="J163" s="357"/>
      <c r="K163" s="357"/>
    </row>
    <row r="164" spans="1:11" ht="12.75">
      <c r="A164" s="357"/>
      <c r="B164" s="357"/>
      <c r="C164" s="357"/>
      <c r="D164" s="357"/>
      <c r="E164" s="357"/>
      <c r="F164" s="357"/>
      <c r="G164" s="357"/>
      <c r="H164" s="357"/>
      <c r="I164" s="357"/>
      <c r="J164" s="357"/>
      <c r="K164" s="357"/>
    </row>
    <row r="165" spans="1:11" ht="12.75">
      <c r="A165" s="357"/>
      <c r="B165" s="357"/>
      <c r="C165" s="357"/>
      <c r="D165" s="357"/>
      <c r="E165" s="357"/>
      <c r="F165" s="357"/>
      <c r="G165" s="357"/>
      <c r="H165" s="357"/>
      <c r="I165" s="357"/>
      <c r="J165" s="357"/>
      <c r="K165" s="357"/>
    </row>
    <row r="166" spans="1:11" ht="12.75">
      <c r="A166" s="357"/>
      <c r="B166" s="357"/>
      <c r="C166" s="357"/>
      <c r="D166" s="357"/>
      <c r="E166" s="357"/>
      <c r="F166" s="357"/>
      <c r="G166" s="357"/>
      <c r="H166" s="357"/>
      <c r="I166" s="357"/>
      <c r="J166" s="357"/>
      <c r="K166" s="357"/>
    </row>
    <row r="167" spans="1:11" ht="12.75">
      <c r="A167" s="357"/>
      <c r="B167" s="357"/>
      <c r="C167" s="357"/>
      <c r="D167" s="357"/>
      <c r="E167" s="357"/>
      <c r="F167" s="357"/>
      <c r="G167" s="357"/>
      <c r="H167" s="357"/>
      <c r="I167" s="357"/>
      <c r="J167" s="357"/>
      <c r="K167" s="357"/>
    </row>
    <row r="168" spans="1:11" ht="12.75">
      <c r="A168" s="357"/>
      <c r="B168" s="357"/>
      <c r="C168" s="357"/>
      <c r="D168" s="357"/>
      <c r="E168" s="357"/>
      <c r="F168" s="357"/>
      <c r="G168" s="357"/>
      <c r="H168" s="357"/>
      <c r="I168" s="357"/>
      <c r="J168" s="357"/>
      <c r="K168" s="357"/>
    </row>
    <row r="169" spans="1:11" ht="12.75">
      <c r="A169" s="357"/>
      <c r="B169" s="357"/>
      <c r="C169" s="357"/>
      <c r="D169" s="357"/>
      <c r="E169" s="357"/>
      <c r="F169" s="357"/>
      <c r="G169" s="357"/>
      <c r="H169" s="357"/>
      <c r="I169" s="357"/>
      <c r="J169" s="357"/>
      <c r="K169" s="357"/>
    </row>
    <row r="170" spans="1:11" ht="12.75">
      <c r="A170" s="357"/>
      <c r="B170" s="357"/>
      <c r="C170" s="357"/>
      <c r="D170" s="357"/>
      <c r="E170" s="357"/>
      <c r="F170" s="357"/>
      <c r="G170" s="357"/>
      <c r="H170" s="357"/>
      <c r="I170" s="357"/>
      <c r="J170" s="357"/>
      <c r="K170" s="357"/>
    </row>
    <row r="171" spans="1:11" ht="12.75">
      <c r="A171" s="357"/>
      <c r="B171" s="357"/>
      <c r="C171" s="357"/>
      <c r="D171" s="357"/>
      <c r="E171" s="357"/>
      <c r="F171" s="357"/>
      <c r="G171" s="357"/>
      <c r="H171" s="357"/>
      <c r="I171" s="357"/>
      <c r="J171" s="357"/>
      <c r="K171" s="357"/>
    </row>
    <row r="172" spans="1:11" ht="12.75">
      <c r="A172" s="357"/>
      <c r="B172" s="357"/>
      <c r="C172" s="357"/>
      <c r="D172" s="357"/>
      <c r="E172" s="357"/>
      <c r="F172" s="357"/>
      <c r="G172" s="357"/>
      <c r="H172" s="357"/>
      <c r="I172" s="357"/>
      <c r="J172" s="357"/>
      <c r="K172" s="357"/>
    </row>
    <row r="173" spans="1:11" ht="12.75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</row>
    <row r="174" spans="1:11" ht="12.75">
      <c r="A174" s="357"/>
      <c r="B174" s="357"/>
      <c r="C174" s="357"/>
      <c r="D174" s="357"/>
      <c r="E174" s="357"/>
      <c r="F174" s="357"/>
      <c r="G174" s="357"/>
      <c r="H174" s="357"/>
      <c r="I174" s="357"/>
      <c r="J174" s="357"/>
      <c r="K174" s="357"/>
    </row>
    <row r="175" spans="1:11" ht="12.75">
      <c r="A175" s="357"/>
      <c r="B175" s="357"/>
      <c r="C175" s="357"/>
      <c r="D175" s="357"/>
      <c r="E175" s="357"/>
      <c r="F175" s="357"/>
      <c r="G175" s="357"/>
      <c r="H175" s="357"/>
      <c r="I175" s="357"/>
      <c r="J175" s="357"/>
      <c r="K175" s="357"/>
    </row>
    <row r="176" spans="1:11" ht="12.75">
      <c r="A176" s="357"/>
      <c r="B176" s="357"/>
      <c r="C176" s="357"/>
      <c r="D176" s="357"/>
      <c r="E176" s="357"/>
      <c r="F176" s="357"/>
      <c r="G176" s="357"/>
      <c r="H176" s="357"/>
      <c r="I176" s="357"/>
      <c r="J176" s="357"/>
      <c r="K176" s="357"/>
    </row>
    <row r="177" spans="1:11" ht="12.75">
      <c r="A177" s="357"/>
      <c r="B177" s="357"/>
      <c r="C177" s="357"/>
      <c r="D177" s="357"/>
      <c r="E177" s="357"/>
      <c r="F177" s="357"/>
      <c r="G177" s="357"/>
      <c r="H177" s="357"/>
      <c r="I177" s="357"/>
      <c r="J177" s="357"/>
      <c r="K177" s="357"/>
    </row>
    <row r="178" spans="1:11" ht="12.75">
      <c r="A178" s="357"/>
      <c r="B178" s="357"/>
      <c r="C178" s="357"/>
      <c r="D178" s="357"/>
      <c r="E178" s="357"/>
      <c r="F178" s="357"/>
      <c r="G178" s="357"/>
      <c r="H178" s="357"/>
      <c r="I178" s="357"/>
      <c r="J178" s="357"/>
      <c r="K178" s="357"/>
    </row>
    <row r="179" spans="1:11" ht="12.75">
      <c r="A179" s="357"/>
      <c r="B179" s="357"/>
      <c r="C179" s="357"/>
      <c r="D179" s="357"/>
      <c r="E179" s="357"/>
      <c r="F179" s="357"/>
      <c r="G179" s="357"/>
      <c r="H179" s="357"/>
      <c r="I179" s="357"/>
      <c r="J179" s="357"/>
      <c r="K179" s="357"/>
    </row>
    <row r="180" spans="1:11" ht="12.75">
      <c r="A180" s="357"/>
      <c r="B180" s="357"/>
      <c r="C180" s="357"/>
      <c r="D180" s="357"/>
      <c r="E180" s="357"/>
      <c r="F180" s="357"/>
      <c r="G180" s="357"/>
      <c r="H180" s="357"/>
      <c r="I180" s="357"/>
      <c r="J180" s="357"/>
      <c r="K180" s="357"/>
    </row>
    <row r="181" spans="1:11" ht="12.75">
      <c r="A181" s="357"/>
      <c r="B181" s="357"/>
      <c r="C181" s="357"/>
      <c r="D181" s="357"/>
      <c r="E181" s="357"/>
      <c r="F181" s="357"/>
      <c r="G181" s="357"/>
      <c r="H181" s="357"/>
      <c r="I181" s="357"/>
      <c r="J181" s="357"/>
      <c r="K181" s="357"/>
    </row>
    <row r="182" spans="1:11" ht="12.75">
      <c r="A182" s="357"/>
      <c r="B182" s="357"/>
      <c r="C182" s="357"/>
      <c r="D182" s="357"/>
      <c r="E182" s="357"/>
      <c r="F182" s="357"/>
      <c r="G182" s="357"/>
      <c r="H182" s="357"/>
      <c r="I182" s="357"/>
      <c r="J182" s="357"/>
      <c r="K182" s="357"/>
    </row>
    <row r="183" spans="1:11" ht="12.75">
      <c r="A183" s="357"/>
      <c r="B183" s="357"/>
      <c r="C183" s="357"/>
      <c r="D183" s="357"/>
      <c r="E183" s="357"/>
      <c r="F183" s="357"/>
      <c r="G183" s="357"/>
      <c r="H183" s="357"/>
      <c r="I183" s="357"/>
      <c r="J183" s="357"/>
      <c r="K183" s="357"/>
    </row>
    <row r="184" spans="1:11" ht="12.75">
      <c r="A184" s="357"/>
      <c r="B184" s="357"/>
      <c r="C184" s="357"/>
      <c r="D184" s="357"/>
      <c r="E184" s="357"/>
      <c r="F184" s="357"/>
      <c r="G184" s="357"/>
      <c r="H184" s="357"/>
      <c r="I184" s="357"/>
      <c r="J184" s="357"/>
      <c r="K184" s="357"/>
    </row>
    <row r="185" spans="1:11" ht="12.75">
      <c r="A185" s="357"/>
      <c r="B185" s="357"/>
      <c r="C185" s="357"/>
      <c r="D185" s="357"/>
      <c r="E185" s="357"/>
      <c r="F185" s="357"/>
      <c r="G185" s="357"/>
      <c r="H185" s="357"/>
      <c r="I185" s="357"/>
      <c r="J185" s="357"/>
      <c r="K185" s="357"/>
    </row>
    <row r="186" spans="1:11" ht="12.75">
      <c r="A186" s="357"/>
      <c r="B186" s="357"/>
      <c r="C186" s="357"/>
      <c r="D186" s="357"/>
      <c r="E186" s="357"/>
      <c r="F186" s="357"/>
      <c r="G186" s="357"/>
      <c r="H186" s="357"/>
      <c r="I186" s="357"/>
      <c r="J186" s="357"/>
      <c r="K186" s="357"/>
    </row>
    <row r="187" spans="1:11" ht="12.75">
      <c r="A187" s="357"/>
      <c r="B187" s="357"/>
      <c r="C187" s="357"/>
      <c r="D187" s="357"/>
      <c r="E187" s="357"/>
      <c r="F187" s="357"/>
      <c r="G187" s="357"/>
      <c r="H187" s="357"/>
      <c r="I187" s="357"/>
      <c r="J187" s="357"/>
      <c r="K187" s="357"/>
    </row>
    <row r="188" spans="1:11" ht="12.75">
      <c r="A188" s="357"/>
      <c r="B188" s="357"/>
      <c r="C188" s="357"/>
      <c r="D188" s="357"/>
      <c r="E188" s="357"/>
      <c r="F188" s="357"/>
      <c r="G188" s="357"/>
      <c r="H188" s="357"/>
      <c r="I188" s="357"/>
      <c r="J188" s="357"/>
      <c r="K188" s="357"/>
    </row>
    <row r="189" spans="1:11" ht="12.75">
      <c r="A189" s="357"/>
      <c r="B189" s="357"/>
      <c r="C189" s="357"/>
      <c r="D189" s="357"/>
      <c r="E189" s="357"/>
      <c r="F189" s="357"/>
      <c r="G189" s="357"/>
      <c r="H189" s="357"/>
      <c r="I189" s="357"/>
      <c r="J189" s="357"/>
      <c r="K189" s="357"/>
    </row>
    <row r="190" spans="1:11" ht="12.75">
      <c r="A190" s="357"/>
      <c r="B190" s="357"/>
      <c r="C190" s="357"/>
      <c r="D190" s="357"/>
      <c r="E190" s="357"/>
      <c r="F190" s="357"/>
      <c r="G190" s="357"/>
      <c r="H190" s="357"/>
      <c r="I190" s="357"/>
      <c r="J190" s="357"/>
      <c r="K190" s="357"/>
    </row>
    <row r="191" spans="1:11" ht="12.75">
      <c r="A191" s="357"/>
      <c r="B191" s="357"/>
      <c r="C191" s="357"/>
      <c r="D191" s="357"/>
      <c r="E191" s="357"/>
      <c r="F191" s="357"/>
      <c r="G191" s="357"/>
      <c r="H191" s="357"/>
      <c r="I191" s="357"/>
      <c r="J191" s="357"/>
      <c r="K191" s="357"/>
    </row>
    <row r="192" spans="1:11" ht="12.75">
      <c r="A192" s="357"/>
      <c r="B192" s="357"/>
      <c r="C192" s="357"/>
      <c r="D192" s="357"/>
      <c r="E192" s="357"/>
      <c r="F192" s="357"/>
      <c r="G192" s="357"/>
      <c r="H192" s="357"/>
      <c r="I192" s="357"/>
      <c r="J192" s="357"/>
      <c r="K192" s="357"/>
    </row>
    <row r="193" spans="1:11" ht="12.75">
      <c r="A193" s="357"/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</row>
    <row r="194" spans="1:11" ht="12.75">
      <c r="A194" s="357"/>
      <c r="B194" s="357"/>
      <c r="C194" s="357"/>
      <c r="D194" s="357"/>
      <c r="E194" s="357"/>
      <c r="F194" s="357"/>
      <c r="G194" s="357"/>
      <c r="H194" s="357"/>
      <c r="I194" s="357"/>
      <c r="J194" s="357"/>
      <c r="K194" s="357"/>
    </row>
    <row r="195" spans="1:11" ht="12.75">
      <c r="A195" s="357"/>
      <c r="B195" s="357"/>
      <c r="C195" s="357"/>
      <c r="D195" s="357"/>
      <c r="E195" s="357"/>
      <c r="F195" s="357"/>
      <c r="G195" s="357"/>
      <c r="H195" s="357"/>
      <c r="I195" s="357"/>
      <c r="J195" s="357"/>
      <c r="K195" s="357"/>
    </row>
    <row r="196" spans="1:11" ht="12.75">
      <c r="A196" s="357"/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</row>
    <row r="197" spans="1:11" ht="12.75">
      <c r="A197" s="357"/>
      <c r="B197" s="357"/>
      <c r="C197" s="357"/>
      <c r="D197" s="357"/>
      <c r="E197" s="357"/>
      <c r="F197" s="357"/>
      <c r="G197" s="357"/>
      <c r="H197" s="357"/>
      <c r="I197" s="357"/>
      <c r="J197" s="357"/>
      <c r="K197" s="357"/>
    </row>
    <row r="198" spans="1:11" ht="12.75">
      <c r="A198" s="357"/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</row>
    <row r="199" spans="1:11" ht="12.75">
      <c r="A199" s="357"/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</row>
    <row r="200" spans="1:11" ht="12.75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</row>
    <row r="201" spans="1:11" ht="12.75">
      <c r="A201" s="357"/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</row>
    <row r="202" spans="1:11" ht="12.75">
      <c r="A202" s="357"/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</row>
    <row r="203" spans="1:11" ht="12.75">
      <c r="A203" s="357"/>
      <c r="B203" s="357"/>
      <c r="C203" s="357"/>
      <c r="D203" s="357"/>
      <c r="E203" s="357"/>
      <c r="F203" s="357"/>
      <c r="G203" s="357"/>
      <c r="H203" s="357"/>
      <c r="I203" s="357"/>
      <c r="J203" s="357"/>
      <c r="K203" s="357"/>
    </row>
    <row r="204" spans="1:11" ht="12.75">
      <c r="A204" s="357"/>
      <c r="B204" s="357"/>
      <c r="C204" s="357"/>
      <c r="D204" s="357"/>
      <c r="E204" s="357"/>
      <c r="F204" s="357"/>
      <c r="G204" s="357"/>
      <c r="H204" s="357"/>
      <c r="I204" s="357"/>
      <c r="J204" s="357"/>
      <c r="K204" s="357"/>
    </row>
    <row r="205" spans="1:11" ht="12.75">
      <c r="A205" s="357"/>
      <c r="B205" s="357"/>
      <c r="C205" s="357"/>
      <c r="D205" s="357"/>
      <c r="E205" s="357"/>
      <c r="F205" s="357"/>
      <c r="G205" s="357"/>
      <c r="H205" s="357"/>
      <c r="I205" s="357"/>
      <c r="J205" s="357"/>
      <c r="K205" s="357"/>
    </row>
    <row r="206" spans="1:11" ht="12.75">
      <c r="A206" s="357"/>
      <c r="B206" s="357"/>
      <c r="C206" s="357"/>
      <c r="D206" s="357"/>
      <c r="E206" s="357"/>
      <c r="F206" s="357"/>
      <c r="G206" s="357"/>
      <c r="H206" s="357"/>
      <c r="I206" s="357"/>
      <c r="J206" s="357"/>
      <c r="K206" s="357"/>
    </row>
    <row r="207" spans="1:11" ht="12.75">
      <c r="A207" s="357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</row>
    <row r="208" spans="1:11" ht="12.75">
      <c r="A208" s="357"/>
      <c r="B208" s="357"/>
      <c r="C208" s="357"/>
      <c r="D208" s="357"/>
      <c r="E208" s="357"/>
      <c r="F208" s="357"/>
      <c r="G208" s="357"/>
      <c r="H208" s="357"/>
      <c r="I208" s="357"/>
      <c r="J208" s="357"/>
      <c r="K208" s="357"/>
    </row>
    <row r="209" spans="1:11" ht="12.75">
      <c r="A209" s="357"/>
      <c r="B209" s="357"/>
      <c r="C209" s="357"/>
      <c r="D209" s="357"/>
      <c r="E209" s="357"/>
      <c r="F209" s="357"/>
      <c r="G209" s="357"/>
      <c r="H209" s="357"/>
      <c r="I209" s="357"/>
      <c r="J209" s="357"/>
      <c r="K209" s="357"/>
    </row>
    <row r="210" spans="1:11" ht="12.75">
      <c r="A210" s="357"/>
      <c r="B210" s="357"/>
      <c r="C210" s="357"/>
      <c r="D210" s="357"/>
      <c r="E210" s="357"/>
      <c r="F210" s="357"/>
      <c r="G210" s="357"/>
      <c r="H210" s="357"/>
      <c r="I210" s="357"/>
      <c r="J210" s="357"/>
      <c r="K210" s="357"/>
    </row>
    <row r="211" spans="1:11" ht="12.75">
      <c r="A211" s="357"/>
      <c r="B211" s="357"/>
      <c r="C211" s="357"/>
      <c r="D211" s="357"/>
      <c r="E211" s="357"/>
      <c r="F211" s="357"/>
      <c r="G211" s="357"/>
      <c r="H211" s="357"/>
      <c r="I211" s="357"/>
      <c r="J211" s="357"/>
      <c r="K211" s="357"/>
    </row>
    <row r="212" spans="1:11" ht="12.75">
      <c r="A212" s="357"/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</row>
    <row r="213" spans="1:11" ht="12.75">
      <c r="A213" s="357"/>
      <c r="B213" s="357"/>
      <c r="C213" s="357"/>
      <c r="D213" s="357"/>
      <c r="E213" s="357"/>
      <c r="F213" s="357"/>
      <c r="G213" s="357"/>
      <c r="H213" s="357"/>
      <c r="I213" s="357"/>
      <c r="J213" s="357"/>
      <c r="K213" s="357"/>
    </row>
    <row r="214" spans="1:11" ht="12.75">
      <c r="A214" s="357"/>
      <c r="B214" s="357"/>
      <c r="C214" s="357"/>
      <c r="D214" s="357"/>
      <c r="E214" s="357"/>
      <c r="F214" s="357"/>
      <c r="G214" s="357"/>
      <c r="H214" s="357"/>
      <c r="I214" s="357"/>
      <c r="J214" s="357"/>
      <c r="K214" s="357"/>
    </row>
    <row r="215" spans="1:11" ht="12.75">
      <c r="A215" s="357"/>
      <c r="B215" s="357"/>
      <c r="C215" s="357"/>
      <c r="D215" s="357"/>
      <c r="E215" s="357"/>
      <c r="F215" s="357"/>
      <c r="G215" s="357"/>
      <c r="H215" s="357"/>
      <c r="I215" s="357"/>
      <c r="J215" s="357"/>
      <c r="K215" s="357"/>
    </row>
    <row r="216" spans="1:11" ht="12.75">
      <c r="A216" s="357"/>
      <c r="B216" s="357"/>
      <c r="C216" s="357"/>
      <c r="D216" s="357"/>
      <c r="E216" s="357"/>
      <c r="F216" s="357"/>
      <c r="G216" s="357"/>
      <c r="H216" s="357"/>
      <c r="I216" s="357"/>
      <c r="J216" s="357"/>
      <c r="K216" s="357"/>
    </row>
    <row r="217" spans="1:11" ht="12.75">
      <c r="A217" s="357"/>
      <c r="B217" s="357"/>
      <c r="C217" s="357"/>
      <c r="D217" s="357"/>
      <c r="E217" s="357"/>
      <c r="F217" s="357"/>
      <c r="G217" s="357"/>
      <c r="H217" s="357"/>
      <c r="I217" s="357"/>
      <c r="J217" s="357"/>
      <c r="K217" s="357"/>
    </row>
    <row r="218" spans="1:11" ht="12.75">
      <c r="A218" s="357"/>
      <c r="B218" s="357"/>
      <c r="C218" s="357"/>
      <c r="D218" s="357"/>
      <c r="E218" s="357"/>
      <c r="F218" s="357"/>
      <c r="G218" s="357"/>
      <c r="H218" s="357"/>
      <c r="I218" s="357"/>
      <c r="J218" s="357"/>
      <c r="K218" s="357"/>
    </row>
    <row r="219" spans="1:11" ht="12.75">
      <c r="A219" s="357"/>
      <c r="B219" s="357"/>
      <c r="C219" s="357"/>
      <c r="D219" s="357"/>
      <c r="E219" s="357"/>
      <c r="F219" s="357"/>
      <c r="G219" s="357"/>
      <c r="H219" s="357"/>
      <c r="I219" s="357"/>
      <c r="J219" s="357"/>
      <c r="K219" s="357"/>
    </row>
    <row r="220" spans="1:11" ht="12.75">
      <c r="A220" s="357"/>
      <c r="B220" s="357"/>
      <c r="C220" s="357"/>
      <c r="D220" s="357"/>
      <c r="E220" s="357"/>
      <c r="F220" s="357"/>
      <c r="G220" s="357"/>
      <c r="H220" s="357"/>
      <c r="I220" s="357"/>
      <c r="J220" s="357"/>
      <c r="K220" s="357"/>
    </row>
    <row r="221" spans="1:11" ht="12.75">
      <c r="A221" s="357"/>
      <c r="B221" s="357"/>
      <c r="C221" s="357"/>
      <c r="D221" s="357"/>
      <c r="E221" s="357"/>
      <c r="F221" s="357"/>
      <c r="G221" s="357"/>
      <c r="H221" s="357"/>
      <c r="I221" s="357"/>
      <c r="J221" s="357"/>
      <c r="K221" s="357"/>
    </row>
    <row r="222" spans="1:11" ht="12.75">
      <c r="A222" s="357"/>
      <c r="B222" s="357"/>
      <c r="C222" s="357"/>
      <c r="D222" s="357"/>
      <c r="E222" s="357"/>
      <c r="F222" s="357"/>
      <c r="G222" s="357"/>
      <c r="H222" s="357"/>
      <c r="I222" s="357"/>
      <c r="J222" s="357"/>
      <c r="K222" s="357"/>
    </row>
    <row r="223" spans="1:11" ht="12.75">
      <c r="A223" s="357"/>
      <c r="B223" s="357"/>
      <c r="C223" s="357"/>
      <c r="D223" s="357"/>
      <c r="E223" s="357"/>
      <c r="F223" s="357"/>
      <c r="G223" s="357"/>
      <c r="H223" s="357"/>
      <c r="I223" s="357"/>
      <c r="J223" s="357"/>
      <c r="K223" s="357"/>
    </row>
    <row r="224" spans="1:11" ht="12.75">
      <c r="A224" s="357"/>
      <c r="B224" s="357"/>
      <c r="C224" s="357"/>
      <c r="D224" s="357"/>
      <c r="E224" s="357"/>
      <c r="F224" s="357"/>
      <c r="G224" s="357"/>
      <c r="H224" s="357"/>
      <c r="I224" s="357"/>
      <c r="J224" s="357"/>
      <c r="K224" s="357"/>
    </row>
    <row r="225" spans="1:11" ht="12.75">
      <c r="A225" s="357"/>
      <c r="B225" s="357"/>
      <c r="C225" s="357"/>
      <c r="D225" s="357"/>
      <c r="E225" s="357"/>
      <c r="F225" s="357"/>
      <c r="G225" s="357"/>
      <c r="H225" s="357"/>
      <c r="I225" s="357"/>
      <c r="J225" s="357"/>
      <c r="K225" s="357"/>
    </row>
    <row r="226" spans="1:11" ht="12.75">
      <c r="A226" s="357"/>
      <c r="B226" s="357"/>
      <c r="C226" s="357"/>
      <c r="D226" s="357"/>
      <c r="E226" s="357"/>
      <c r="F226" s="357"/>
      <c r="G226" s="357"/>
      <c r="H226" s="357"/>
      <c r="I226" s="357"/>
      <c r="J226" s="357"/>
      <c r="K226" s="357"/>
    </row>
    <row r="227" spans="1:11" ht="12.75">
      <c r="A227" s="357"/>
      <c r="B227" s="357"/>
      <c r="C227" s="357"/>
      <c r="D227" s="357"/>
      <c r="E227" s="357"/>
      <c r="F227" s="357"/>
      <c r="G227" s="357"/>
      <c r="H227" s="357"/>
      <c r="I227" s="357"/>
      <c r="J227" s="357"/>
      <c r="K227" s="357"/>
    </row>
    <row r="228" spans="1:11" ht="12.75">
      <c r="A228" s="357"/>
      <c r="B228" s="357"/>
      <c r="C228" s="357"/>
      <c r="D228" s="357"/>
      <c r="E228" s="357"/>
      <c r="F228" s="357"/>
      <c r="G228" s="357"/>
      <c r="H228" s="357"/>
      <c r="I228" s="357"/>
      <c r="J228" s="357"/>
      <c r="K228" s="357"/>
    </row>
    <row r="229" spans="1:11" ht="12.75">
      <c r="A229" s="357"/>
      <c r="B229" s="357"/>
      <c r="C229" s="357"/>
      <c r="D229" s="357"/>
      <c r="E229" s="357"/>
      <c r="F229" s="357"/>
      <c r="G229" s="357"/>
      <c r="H229" s="357"/>
      <c r="I229" s="357"/>
      <c r="J229" s="357"/>
      <c r="K229" s="357"/>
    </row>
    <row r="230" spans="1:11" ht="12.75">
      <c r="A230" s="357"/>
      <c r="B230" s="357"/>
      <c r="C230" s="357"/>
      <c r="D230" s="357"/>
      <c r="E230" s="357"/>
      <c r="F230" s="357"/>
      <c r="G230" s="357"/>
      <c r="H230" s="357"/>
      <c r="I230" s="357"/>
      <c r="J230" s="357"/>
      <c r="K230" s="357"/>
    </row>
    <row r="231" spans="1:11" ht="12.75">
      <c r="A231" s="357"/>
      <c r="B231" s="357"/>
      <c r="C231" s="357"/>
      <c r="D231" s="357"/>
      <c r="E231" s="357"/>
      <c r="F231" s="357"/>
      <c r="G231" s="357"/>
      <c r="H231" s="357"/>
      <c r="I231" s="357"/>
      <c r="J231" s="357"/>
      <c r="K231" s="357"/>
    </row>
    <row r="232" spans="1:11" ht="12.75">
      <c r="A232" s="357"/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</row>
    <row r="233" spans="1:11" ht="12.75">
      <c r="A233" s="357"/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</sheetData>
  <sheetProtection formatCells="0"/>
  <protectedRanges>
    <protectedRange sqref="F9:H31" name="Tartom?ny1"/>
  </protectedRanges>
  <mergeCells count="203">
    <mergeCell ref="L133:M133"/>
    <mergeCell ref="L134:M134"/>
    <mergeCell ref="L135:M135"/>
    <mergeCell ref="L136:M136"/>
    <mergeCell ref="L141:M141"/>
    <mergeCell ref="L137:M137"/>
    <mergeCell ref="L138:M138"/>
    <mergeCell ref="L139:M139"/>
    <mergeCell ref="L140:M140"/>
    <mergeCell ref="L125:M125"/>
    <mergeCell ref="L127:M127"/>
    <mergeCell ref="L132:M132"/>
    <mergeCell ref="L129:M129"/>
    <mergeCell ref="L128:M128"/>
    <mergeCell ref="L126:M126"/>
    <mergeCell ref="L130:M130"/>
    <mergeCell ref="L131:M131"/>
    <mergeCell ref="L115:M117"/>
    <mergeCell ref="L118:M118"/>
    <mergeCell ref="L119:M119"/>
    <mergeCell ref="L120:M120"/>
    <mergeCell ref="L121:M121"/>
    <mergeCell ref="L122:M122"/>
    <mergeCell ref="L123:M123"/>
    <mergeCell ref="L124:M124"/>
    <mergeCell ref="B125:E125"/>
    <mergeCell ref="B127:E127"/>
    <mergeCell ref="B121:E121"/>
    <mergeCell ref="B122:E122"/>
    <mergeCell ref="B124:E124"/>
    <mergeCell ref="B123:E123"/>
    <mergeCell ref="B126:E126"/>
    <mergeCell ref="B140:E140"/>
    <mergeCell ref="B141:E141"/>
    <mergeCell ref="B135:E135"/>
    <mergeCell ref="B128:E128"/>
    <mergeCell ref="B129:E129"/>
    <mergeCell ref="B139:E139"/>
    <mergeCell ref="B136:E136"/>
    <mergeCell ref="B137:E137"/>
    <mergeCell ref="B138:E138"/>
    <mergeCell ref="B134:E134"/>
    <mergeCell ref="B120:E120"/>
    <mergeCell ref="K115:K117"/>
    <mergeCell ref="J115:J117"/>
    <mergeCell ref="B118:E118"/>
    <mergeCell ref="B119:E119"/>
    <mergeCell ref="F115:F117"/>
    <mergeCell ref="G115:G117"/>
    <mergeCell ref="H115:H117"/>
    <mergeCell ref="A113:A117"/>
    <mergeCell ref="B113:E116"/>
    <mergeCell ref="B117:E117"/>
    <mergeCell ref="L80:N80"/>
    <mergeCell ref="F81:F83"/>
    <mergeCell ref="G81:G83"/>
    <mergeCell ref="H81:H83"/>
    <mergeCell ref="I81:I83"/>
    <mergeCell ref="F113:N113"/>
    <mergeCell ref="F114:H114"/>
    <mergeCell ref="J81:J83"/>
    <mergeCell ref="F79:N79"/>
    <mergeCell ref="F80:H80"/>
    <mergeCell ref="I80:K80"/>
    <mergeCell ref="N81:N83"/>
    <mergeCell ref="K81:K83"/>
    <mergeCell ref="L81:L83"/>
    <mergeCell ref="M81:M83"/>
    <mergeCell ref="B91:E91"/>
    <mergeCell ref="B89:E89"/>
    <mergeCell ref="B88:E88"/>
    <mergeCell ref="A79:A83"/>
    <mergeCell ref="B79:E82"/>
    <mergeCell ref="B83:E83"/>
    <mergeCell ref="B84:E84"/>
    <mergeCell ref="B85:E85"/>
    <mergeCell ref="B86:E86"/>
    <mergeCell ref="B87:E87"/>
    <mergeCell ref="B94:E94"/>
    <mergeCell ref="B95:E95"/>
    <mergeCell ref="B96:E96"/>
    <mergeCell ref="B92:E92"/>
    <mergeCell ref="B93:E93"/>
    <mergeCell ref="B102:E102"/>
    <mergeCell ref="B103:E103"/>
    <mergeCell ref="B104:E104"/>
    <mergeCell ref="B97:E97"/>
    <mergeCell ref="B101:E101"/>
    <mergeCell ref="B99:E99"/>
    <mergeCell ref="B100:E100"/>
    <mergeCell ref="B98:E98"/>
    <mergeCell ref="B90:E90"/>
    <mergeCell ref="B67:E67"/>
    <mergeCell ref="B68:E68"/>
    <mergeCell ref="B63:E63"/>
    <mergeCell ref="B64:E64"/>
    <mergeCell ref="B65:E65"/>
    <mergeCell ref="B66:E66"/>
    <mergeCell ref="N115:N117"/>
    <mergeCell ref="B69:E69"/>
    <mergeCell ref="B70:E70"/>
    <mergeCell ref="B71:E71"/>
    <mergeCell ref="I114:K114"/>
    <mergeCell ref="L114:N114"/>
    <mergeCell ref="B106:E106"/>
    <mergeCell ref="B107:E107"/>
    <mergeCell ref="I115:I117"/>
    <mergeCell ref="B105:E105"/>
    <mergeCell ref="A43:A47"/>
    <mergeCell ref="B43:E46"/>
    <mergeCell ref="B50:E50"/>
    <mergeCell ref="F43:N43"/>
    <mergeCell ref="F44:H44"/>
    <mergeCell ref="I44:K44"/>
    <mergeCell ref="L44:N44"/>
    <mergeCell ref="F45:F47"/>
    <mergeCell ref="H45:H47"/>
    <mergeCell ref="I45:I47"/>
    <mergeCell ref="B56:E56"/>
    <mergeCell ref="B57:E57"/>
    <mergeCell ref="P45:P47"/>
    <mergeCell ref="Q45:Q47"/>
    <mergeCell ref="N45:N47"/>
    <mergeCell ref="L45:L47"/>
    <mergeCell ref="O45:O47"/>
    <mergeCell ref="M45:M47"/>
    <mergeCell ref="K45:K47"/>
    <mergeCell ref="G45:G47"/>
    <mergeCell ref="R45:R47"/>
    <mergeCell ref="O43:W43"/>
    <mergeCell ref="O44:Q44"/>
    <mergeCell ref="R44:T44"/>
    <mergeCell ref="U44:W44"/>
    <mergeCell ref="V45:V47"/>
    <mergeCell ref="T45:T47"/>
    <mergeCell ref="U45:U47"/>
    <mergeCell ref="W45:W47"/>
    <mergeCell ref="S45:S47"/>
    <mergeCell ref="J45:J47"/>
    <mergeCell ref="B30:E30"/>
    <mergeCell ref="B31:E31"/>
    <mergeCell ref="B33:E33"/>
    <mergeCell ref="B34:E34"/>
    <mergeCell ref="B41:J41"/>
    <mergeCell ref="B42:D42"/>
    <mergeCell ref="E42:G42"/>
    <mergeCell ref="H42:J42"/>
    <mergeCell ref="B52:E52"/>
    <mergeCell ref="B54:E54"/>
    <mergeCell ref="B47:E47"/>
    <mergeCell ref="B53:E53"/>
    <mergeCell ref="B48:E48"/>
    <mergeCell ref="B49:E49"/>
    <mergeCell ref="B51:E51"/>
    <mergeCell ref="B55:E55"/>
    <mergeCell ref="B133:E133"/>
    <mergeCell ref="B130:E130"/>
    <mergeCell ref="B131:E131"/>
    <mergeCell ref="B132:E132"/>
    <mergeCell ref="B58:E58"/>
    <mergeCell ref="B60:E60"/>
    <mergeCell ref="B61:E61"/>
    <mergeCell ref="B62:E62"/>
    <mergeCell ref="B59:E59"/>
    <mergeCell ref="B22:E22"/>
    <mergeCell ref="B23:E23"/>
    <mergeCell ref="B24:E24"/>
    <mergeCell ref="B25:E25"/>
    <mergeCell ref="B26:E26"/>
    <mergeCell ref="B27:E27"/>
    <mergeCell ref="B28:E28"/>
    <mergeCell ref="B29:E29"/>
    <mergeCell ref="B13:E13"/>
    <mergeCell ref="B15:E15"/>
    <mergeCell ref="B16:E16"/>
    <mergeCell ref="B17:E17"/>
    <mergeCell ref="B14:E14"/>
    <mergeCell ref="B18:E18"/>
    <mergeCell ref="B19:E19"/>
    <mergeCell ref="B20:E20"/>
    <mergeCell ref="B21:E21"/>
    <mergeCell ref="K5:K7"/>
    <mergeCell ref="L5:L7"/>
    <mergeCell ref="B11:E11"/>
    <mergeCell ref="B12:E12"/>
    <mergeCell ref="B7:E7"/>
    <mergeCell ref="B8:E8"/>
    <mergeCell ref="B9:E9"/>
    <mergeCell ref="B10:E10"/>
    <mergeCell ref="I5:I7"/>
    <mergeCell ref="J5:J7"/>
    <mergeCell ref="G5:G7"/>
    <mergeCell ref="H5:H7"/>
    <mergeCell ref="A1:N1"/>
    <mergeCell ref="A3:A8"/>
    <mergeCell ref="B3:E6"/>
    <mergeCell ref="F3:H4"/>
    <mergeCell ref="I3:N3"/>
    <mergeCell ref="I4:K4"/>
    <mergeCell ref="L4:N4"/>
    <mergeCell ref="F5:F7"/>
    <mergeCell ref="M5:M7"/>
    <mergeCell ref="N5:N7"/>
  </mergeCells>
  <printOptions horizontalCentered="1"/>
  <pageMargins left="0.5905511811023623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&amp;CÓcsa Város Önkormányzat 2008. évi pénzforgalmi kiadásai
&amp;R13. számú melléklet</oddHeader>
  </headerFooter>
  <ignoredErrors>
    <ignoredError sqref="A9:A16 A18:A3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3:E92"/>
  <sheetViews>
    <sheetView zoomScalePageLayoutView="0" workbookViewId="0" topLeftCell="A86">
      <selection activeCell="H102" sqref="H102"/>
    </sheetView>
  </sheetViews>
  <sheetFormatPr defaultColWidth="9.00390625" defaultRowHeight="12.75"/>
  <cols>
    <col min="1" max="1" width="8.50390625" style="91" customWidth="1"/>
    <col min="2" max="2" width="49.00390625" style="116" customWidth="1"/>
    <col min="3" max="3" width="15.00390625" style="91" customWidth="1"/>
    <col min="4" max="4" width="10.875" style="91" customWidth="1"/>
    <col min="5" max="5" width="11.625" style="91" customWidth="1"/>
    <col min="6" max="16384" width="9.375" style="91" customWidth="1"/>
  </cols>
  <sheetData>
    <row r="2" ht="13.5" thickBot="1"/>
    <row r="3" spans="1:5" ht="36.75" thickBot="1">
      <c r="A3" s="42" t="s">
        <v>59</v>
      </c>
      <c r="B3" s="43" t="s">
        <v>2</v>
      </c>
      <c r="C3" s="43" t="s">
        <v>349</v>
      </c>
      <c r="D3" s="43" t="s">
        <v>350</v>
      </c>
      <c r="E3" s="62" t="s">
        <v>351</v>
      </c>
    </row>
    <row r="4" spans="1:5" ht="13.5" thickBot="1">
      <c r="A4" s="52">
        <v>1</v>
      </c>
      <c r="B4" s="53">
        <v>2</v>
      </c>
      <c r="C4" s="53">
        <v>3</v>
      </c>
      <c r="D4" s="53">
        <v>4</v>
      </c>
      <c r="E4" s="54">
        <v>5</v>
      </c>
    </row>
    <row r="5" spans="1:5" ht="13.5" thickBot="1">
      <c r="A5" s="35" t="s">
        <v>3</v>
      </c>
      <c r="B5" s="36" t="s">
        <v>114</v>
      </c>
      <c r="C5" s="64">
        <f>1Önk!G5</f>
        <v>561015</v>
      </c>
      <c r="D5" s="64">
        <f>D6+D7</f>
        <v>581492.87</v>
      </c>
      <c r="E5" s="66">
        <f>E6+E7</f>
        <v>608420.0857</v>
      </c>
    </row>
    <row r="6" spans="1:5" ht="13.5" thickBot="1">
      <c r="A6" s="32" t="s">
        <v>4</v>
      </c>
      <c r="B6" s="33" t="s">
        <v>141</v>
      </c>
      <c r="C6" s="65">
        <f>1Önk!G6</f>
        <v>59443</v>
      </c>
      <c r="D6" s="65">
        <f>C6*1.09</f>
        <v>64792.87</v>
      </c>
      <c r="E6" s="66">
        <f>D6*1.11</f>
        <v>71920.08570000001</v>
      </c>
    </row>
    <row r="7" spans="1:5" ht="13.5" thickBot="1">
      <c r="A7" s="32" t="s">
        <v>5</v>
      </c>
      <c r="B7" s="33" t="s">
        <v>154</v>
      </c>
      <c r="C7" s="65">
        <f>1Önk!G7</f>
        <v>501572</v>
      </c>
      <c r="D7" s="479">
        <f>SUM(D8:D13)</f>
        <v>516700</v>
      </c>
      <c r="E7" s="66">
        <f>SUM(E8:E13)</f>
        <v>536500</v>
      </c>
    </row>
    <row r="8" spans="1:5" ht="12.75">
      <c r="A8" s="20" t="s">
        <v>96</v>
      </c>
      <c r="B8" s="8" t="s">
        <v>155</v>
      </c>
      <c r="C8" s="762">
        <f>1Önk!G8</f>
        <v>20000</v>
      </c>
      <c r="D8" s="511">
        <v>21000</v>
      </c>
      <c r="E8" s="515">
        <v>22000</v>
      </c>
    </row>
    <row r="9" spans="1:5" ht="12.75">
      <c r="A9" s="21" t="s">
        <v>97</v>
      </c>
      <c r="B9" s="9" t="s">
        <v>156</v>
      </c>
      <c r="C9" s="763">
        <f>1Önk!G9</f>
        <v>210000</v>
      </c>
      <c r="D9" s="510">
        <v>216000</v>
      </c>
      <c r="E9" s="516">
        <v>220000</v>
      </c>
    </row>
    <row r="10" spans="1:5" ht="12.75">
      <c r="A10" s="21" t="s">
        <v>98</v>
      </c>
      <c r="B10" s="9" t="s">
        <v>157</v>
      </c>
      <c r="C10" s="763">
        <f>1Önk!G10</f>
        <v>6200</v>
      </c>
      <c r="D10" s="510">
        <v>6500</v>
      </c>
      <c r="E10" s="516">
        <v>7000</v>
      </c>
    </row>
    <row r="11" spans="1:5" ht="12.75">
      <c r="A11" s="21" t="s">
        <v>99</v>
      </c>
      <c r="B11" s="9" t="s">
        <v>158</v>
      </c>
      <c r="C11" s="763">
        <f>1Önk!G11</f>
        <v>70000</v>
      </c>
      <c r="D11" s="510">
        <v>72000</v>
      </c>
      <c r="E11" s="516">
        <v>74000</v>
      </c>
    </row>
    <row r="12" spans="1:5" ht="12.75">
      <c r="A12" s="21" t="s">
        <v>160</v>
      </c>
      <c r="B12" s="9" t="s">
        <v>159</v>
      </c>
      <c r="C12" s="763">
        <f>1Önk!G12</f>
        <v>192472</v>
      </c>
      <c r="D12" s="510">
        <v>198000</v>
      </c>
      <c r="E12" s="516">
        <v>210000</v>
      </c>
    </row>
    <row r="13" spans="1:5" ht="13.5" thickBot="1">
      <c r="A13" s="22" t="s">
        <v>161</v>
      </c>
      <c r="B13" s="11" t="s">
        <v>143</v>
      </c>
      <c r="C13" s="764">
        <f>1Önk!G13</f>
        <v>2900</v>
      </c>
      <c r="D13" s="512">
        <v>3200</v>
      </c>
      <c r="E13" s="517">
        <v>3500</v>
      </c>
    </row>
    <row r="14" spans="1:5" ht="13.5" thickBot="1">
      <c r="A14" s="32" t="s">
        <v>6</v>
      </c>
      <c r="B14" s="33" t="s">
        <v>145</v>
      </c>
      <c r="C14" s="65">
        <f>1Önk!G14</f>
        <v>329166</v>
      </c>
      <c r="D14" s="65">
        <f>SUM(D15:D18)</f>
        <v>345624.30000000005</v>
      </c>
      <c r="E14" s="66">
        <f>SUM(E15:E18)</f>
        <v>362905.5150000001</v>
      </c>
    </row>
    <row r="15" spans="1:5" ht="12.75">
      <c r="A15" s="23" t="s">
        <v>100</v>
      </c>
      <c r="B15" s="12" t="s">
        <v>163</v>
      </c>
      <c r="C15" s="762">
        <f>1Önk!G15</f>
        <v>28599</v>
      </c>
      <c r="D15" s="513">
        <f>C15*1.05</f>
        <v>30028.95</v>
      </c>
      <c r="E15" s="515">
        <f>D15*1.05</f>
        <v>31530.397500000003</v>
      </c>
    </row>
    <row r="16" spans="1:5" ht="12.75">
      <c r="A16" s="21" t="s">
        <v>101</v>
      </c>
      <c r="B16" s="9" t="s">
        <v>164</v>
      </c>
      <c r="C16" s="763">
        <f>1Önk!G16</f>
        <v>250362</v>
      </c>
      <c r="D16" s="513">
        <f aca="true" t="shared" si="0" ref="D16:E18">C16*1.05</f>
        <v>262880.10000000003</v>
      </c>
      <c r="E16" s="518">
        <f t="shared" si="0"/>
        <v>276024.10500000004</v>
      </c>
    </row>
    <row r="17" spans="1:5" ht="12.75">
      <c r="A17" s="21" t="s">
        <v>102</v>
      </c>
      <c r="B17" s="9" t="s">
        <v>110</v>
      </c>
      <c r="C17" s="763">
        <f>1Önk!G17</f>
        <v>1041</v>
      </c>
      <c r="D17" s="513">
        <f t="shared" si="0"/>
        <v>1093.05</v>
      </c>
      <c r="E17" s="518">
        <f t="shared" si="0"/>
        <v>1147.7025</v>
      </c>
    </row>
    <row r="18" spans="1:5" ht="12.75">
      <c r="A18" s="24" t="s">
        <v>137</v>
      </c>
      <c r="B18" s="9" t="s">
        <v>165</v>
      </c>
      <c r="C18" s="763">
        <f>1Önk!G18</f>
        <v>49164</v>
      </c>
      <c r="D18" s="513">
        <f t="shared" si="0"/>
        <v>51622.200000000004</v>
      </c>
      <c r="E18" s="518">
        <f t="shared" si="0"/>
        <v>54203.310000000005</v>
      </c>
    </row>
    <row r="19" spans="1:5" ht="12.75">
      <c r="A19" s="21" t="s">
        <v>138</v>
      </c>
      <c r="B19" s="9" t="s">
        <v>166</v>
      </c>
      <c r="C19" s="536">
        <f>1Önk!G19</f>
        <v>0</v>
      </c>
      <c r="D19" s="513"/>
      <c r="E19" s="518"/>
    </row>
    <row r="20" spans="1:5" ht="13.5" thickBot="1">
      <c r="A20" s="20" t="s">
        <v>513</v>
      </c>
      <c r="B20" s="8" t="s">
        <v>345</v>
      </c>
      <c r="C20" s="538">
        <f>1Önk!G20</f>
        <v>0</v>
      </c>
      <c r="D20" s="513"/>
      <c r="E20" s="518"/>
    </row>
    <row r="21" spans="1:5" ht="21.75" thickBot="1">
      <c r="A21" s="32" t="s">
        <v>7</v>
      </c>
      <c r="B21" s="33" t="s">
        <v>146</v>
      </c>
      <c r="C21" s="65">
        <f>1Önk!G21</f>
        <v>46390</v>
      </c>
      <c r="D21" s="65">
        <f>D23+D24</f>
        <v>16435</v>
      </c>
      <c r="E21" s="66">
        <f>E23+E24</f>
        <v>16484.5</v>
      </c>
    </row>
    <row r="22" spans="1:5" ht="12.75">
      <c r="A22" s="23" t="s">
        <v>103</v>
      </c>
      <c r="B22" s="12" t="s">
        <v>81</v>
      </c>
      <c r="C22" s="762">
        <f>1Önk!G22</f>
        <v>30000</v>
      </c>
      <c r="D22" s="513"/>
      <c r="E22" s="518"/>
    </row>
    <row r="23" spans="1:5" ht="12.75">
      <c r="A23" s="20" t="s">
        <v>104</v>
      </c>
      <c r="B23" s="9" t="s">
        <v>162</v>
      </c>
      <c r="C23" s="763">
        <f>1Önk!G23</f>
        <v>450</v>
      </c>
      <c r="D23" s="762">
        <f>C23*1.1</f>
        <v>495.00000000000006</v>
      </c>
      <c r="E23" s="474">
        <f>D23*1.1</f>
        <v>544.5000000000001</v>
      </c>
    </row>
    <row r="24" spans="1:5" ht="13.5" thickBot="1">
      <c r="A24" s="24" t="s">
        <v>105</v>
      </c>
      <c r="B24" s="730" t="s">
        <v>82</v>
      </c>
      <c r="C24" s="764">
        <f>1Önk!G24</f>
        <v>15940</v>
      </c>
      <c r="D24" s="513">
        <v>15940</v>
      </c>
      <c r="E24" s="518">
        <v>15940</v>
      </c>
    </row>
    <row r="25" spans="1:5" ht="21.75" thickBot="1">
      <c r="A25" s="32" t="s">
        <v>8</v>
      </c>
      <c r="B25" s="33" t="s">
        <v>133</v>
      </c>
      <c r="C25" s="65">
        <f>SUM(C26:C34)</f>
        <v>36324</v>
      </c>
      <c r="D25" s="65">
        <f>SUM(D26:D34)</f>
        <v>37450.043999999994</v>
      </c>
      <c r="E25" s="66">
        <f>SUM(E26:E34)</f>
        <v>38610.995363999995</v>
      </c>
    </row>
    <row r="26" spans="1:5" ht="12.75">
      <c r="A26" s="23" t="s">
        <v>106</v>
      </c>
      <c r="B26" s="38" t="s">
        <v>111</v>
      </c>
      <c r="C26" s="762">
        <f>1Önk!G26</f>
        <v>16500</v>
      </c>
      <c r="D26" s="762">
        <f>C26*1.031</f>
        <v>17011.5</v>
      </c>
      <c r="E26" s="765">
        <f>D26*1.031</f>
        <v>17538.856499999998</v>
      </c>
    </row>
    <row r="27" spans="1:5" ht="12.75">
      <c r="A27" s="21" t="s">
        <v>514</v>
      </c>
      <c r="B27" s="38" t="s">
        <v>39</v>
      </c>
      <c r="C27" s="762">
        <f>1Önk!G27</f>
        <v>0</v>
      </c>
      <c r="D27" s="762">
        <f aca="true" t="shared" si="1" ref="D27:E34">C27*1.031</f>
        <v>0</v>
      </c>
      <c r="E27" s="474">
        <f t="shared" si="1"/>
        <v>0</v>
      </c>
    </row>
    <row r="28" spans="1:5" ht="12.75">
      <c r="A28" s="21" t="s">
        <v>515</v>
      </c>
      <c r="B28" s="38" t="s">
        <v>112</v>
      </c>
      <c r="C28" s="762">
        <f>1Önk!G28</f>
        <v>0</v>
      </c>
      <c r="D28" s="762"/>
      <c r="E28" s="474">
        <f t="shared" si="1"/>
        <v>0</v>
      </c>
    </row>
    <row r="29" spans="1:5" ht="12.75">
      <c r="A29" s="21" t="s">
        <v>516</v>
      </c>
      <c r="B29" s="39" t="s">
        <v>132</v>
      </c>
      <c r="C29" s="762">
        <f>1Önk!G29</f>
        <v>7824</v>
      </c>
      <c r="D29" s="762">
        <f t="shared" si="1"/>
        <v>8066.543999999999</v>
      </c>
      <c r="E29" s="474">
        <f t="shared" si="1"/>
        <v>8316.606863999998</v>
      </c>
    </row>
    <row r="30" spans="1:5" ht="12.75">
      <c r="A30" s="24" t="s">
        <v>517</v>
      </c>
      <c r="B30" s="39" t="s">
        <v>167</v>
      </c>
      <c r="C30" s="762">
        <f>1Önk!G30</f>
        <v>10000</v>
      </c>
      <c r="D30" s="762">
        <f t="shared" si="1"/>
        <v>10310</v>
      </c>
      <c r="E30" s="474">
        <f t="shared" si="1"/>
        <v>10629.609999999999</v>
      </c>
    </row>
    <row r="31" spans="1:5" ht="12.75">
      <c r="A31" s="24" t="s">
        <v>518</v>
      </c>
      <c r="B31" s="39" t="s">
        <v>341</v>
      </c>
      <c r="C31" s="762">
        <f>1Önk!G31</f>
        <v>0</v>
      </c>
      <c r="D31" s="762">
        <f t="shared" si="1"/>
        <v>0</v>
      </c>
      <c r="E31" s="474">
        <f t="shared" si="1"/>
        <v>0</v>
      </c>
    </row>
    <row r="32" spans="1:5" ht="12.75">
      <c r="A32" s="21" t="s">
        <v>519</v>
      </c>
      <c r="B32" s="38" t="s">
        <v>168</v>
      </c>
      <c r="C32" s="762">
        <f>1Önk!G32</f>
        <v>2000</v>
      </c>
      <c r="D32" s="762">
        <f t="shared" si="1"/>
        <v>2062</v>
      </c>
      <c r="E32" s="474">
        <f t="shared" si="1"/>
        <v>2125.922</v>
      </c>
    </row>
    <row r="33" spans="1:5" ht="12.75">
      <c r="A33" s="21" t="s">
        <v>520</v>
      </c>
      <c r="B33" s="39" t="s">
        <v>170</v>
      </c>
      <c r="C33" s="762">
        <f>1Önk!G33</f>
        <v>0</v>
      </c>
      <c r="D33" s="762">
        <f t="shared" si="1"/>
        <v>0</v>
      </c>
      <c r="E33" s="474">
        <f t="shared" si="1"/>
        <v>0</v>
      </c>
    </row>
    <row r="34" spans="1:5" ht="13.5" thickBot="1">
      <c r="A34" s="24"/>
      <c r="B34" s="39"/>
      <c r="C34" s="537">
        <f>1Önk!G34</f>
        <v>0</v>
      </c>
      <c r="D34" s="762"/>
      <c r="E34" s="766">
        <f t="shared" si="1"/>
        <v>0</v>
      </c>
    </row>
    <row r="35" spans="1:5" ht="13.5" thickBot="1">
      <c r="A35" s="32" t="s">
        <v>9</v>
      </c>
      <c r="B35" s="33" t="s">
        <v>169</v>
      </c>
      <c r="C35" s="65">
        <f>1Önk!G35</f>
        <v>0</v>
      </c>
      <c r="D35" s="514"/>
      <c r="E35" s="509"/>
    </row>
    <row r="36" spans="1:5" ht="13.5" thickBot="1">
      <c r="A36" s="25" t="s">
        <v>113</v>
      </c>
      <c r="B36" s="16" t="s">
        <v>170</v>
      </c>
      <c r="C36" s="65">
        <f>1Önk!G36</f>
        <v>0</v>
      </c>
      <c r="D36" s="17"/>
      <c r="E36" s="31"/>
    </row>
    <row r="37" spans="1:5" ht="13.5" thickBot="1">
      <c r="A37" s="32" t="s">
        <v>10</v>
      </c>
      <c r="B37" s="33" t="s">
        <v>115</v>
      </c>
      <c r="C37" s="65">
        <f>SUM(C38:C40)</f>
        <v>318380</v>
      </c>
      <c r="D37" s="65">
        <f>SUM(D38:D40)</f>
        <v>0</v>
      </c>
      <c r="E37" s="66">
        <f>SUM(E38:E40)</f>
        <v>0</v>
      </c>
    </row>
    <row r="38" spans="1:5" ht="12.75">
      <c r="A38" s="23" t="s">
        <v>108</v>
      </c>
      <c r="B38" s="12" t="s">
        <v>218</v>
      </c>
      <c r="C38" s="537">
        <f>1Önk!G38</f>
        <v>0</v>
      </c>
      <c r="D38" s="513"/>
      <c r="E38" s="518"/>
    </row>
    <row r="39" spans="1:5" ht="12.75">
      <c r="A39" s="23" t="s">
        <v>521</v>
      </c>
      <c r="B39" s="12" t="s">
        <v>214</v>
      </c>
      <c r="C39" s="536">
        <f>1Önk!G39</f>
        <v>0</v>
      </c>
      <c r="D39" s="513"/>
      <c r="E39" s="518"/>
    </row>
    <row r="40" spans="1:5" ht="13.5" thickBot="1">
      <c r="A40" s="21" t="s">
        <v>522</v>
      </c>
      <c r="B40" s="9" t="s">
        <v>171</v>
      </c>
      <c r="C40" s="764">
        <f>1Önk!G40</f>
        <v>318380</v>
      </c>
      <c r="D40" s="513"/>
      <c r="E40" s="518"/>
    </row>
    <row r="41" spans="1:5" ht="13.5" thickBot="1">
      <c r="A41" s="32" t="s">
        <v>11</v>
      </c>
      <c r="B41" s="539" t="s">
        <v>116</v>
      </c>
      <c r="C41" s="506">
        <f>C5+C14+C21+C25+C35+C37</f>
        <v>1291275</v>
      </c>
      <c r="D41" s="506">
        <f>D5+D14+D21+D25+D35+D37</f>
        <v>981002.214</v>
      </c>
      <c r="E41" s="506">
        <f>E5+E14+E21+E25+E35+E37</f>
        <v>1026421.096064</v>
      </c>
    </row>
    <row r="42" spans="1:5" ht="13.5" thickBot="1">
      <c r="A42" s="713" t="s">
        <v>12</v>
      </c>
      <c r="B42" s="540" t="s">
        <v>307</v>
      </c>
      <c r="C42" s="506">
        <f>1Önk!G42</f>
        <v>0</v>
      </c>
      <c r="D42" s="767"/>
      <c r="E42" s="769"/>
    </row>
    <row r="43" spans="1:5" ht="13.5" thickBot="1">
      <c r="A43" s="32" t="s">
        <v>13</v>
      </c>
      <c r="B43" s="541" t="s">
        <v>83</v>
      </c>
      <c r="C43" s="801">
        <f>1Önk!G43</f>
        <v>195465</v>
      </c>
      <c r="D43" s="508">
        <v>206300</v>
      </c>
      <c r="E43" s="801">
        <v>186310</v>
      </c>
    </row>
    <row r="44" spans="1:5" ht="13.5" thickBot="1">
      <c r="A44" s="32">
        <v>12</v>
      </c>
      <c r="B44" s="541" t="s">
        <v>346</v>
      </c>
      <c r="C44" s="506">
        <f>1Önk!G44</f>
        <v>0</v>
      </c>
      <c r="D44" s="768"/>
      <c r="E44" s="770"/>
    </row>
    <row r="45" spans="1:5" ht="13.5" thickBot="1">
      <c r="A45" s="32">
        <v>13</v>
      </c>
      <c r="B45" s="574" t="s">
        <v>117</v>
      </c>
      <c r="C45" s="506">
        <f>C41+C43</f>
        <v>1486740</v>
      </c>
      <c r="D45" s="506">
        <f>D41+D43</f>
        <v>1187302.2140000002</v>
      </c>
      <c r="E45" s="506">
        <f>E41+E43</f>
        <v>1212731.096064</v>
      </c>
    </row>
    <row r="52" spans="1:5" ht="15.75">
      <c r="A52" s="908" t="s">
        <v>29</v>
      </c>
      <c r="B52" s="908"/>
      <c r="C52" s="908"/>
      <c r="D52" s="908"/>
      <c r="E52" s="908"/>
    </row>
    <row r="53" spans="1:5" ht="16.5" thickBot="1">
      <c r="A53" s="7"/>
      <c r="B53" s="7"/>
      <c r="C53" s="7"/>
      <c r="D53" s="907" t="s">
        <v>37</v>
      </c>
      <c r="E53" s="907"/>
    </row>
    <row r="54" spans="1:5" ht="36.75" thickBot="1">
      <c r="A54" s="42" t="s">
        <v>1</v>
      </c>
      <c r="B54" s="43" t="s">
        <v>30</v>
      </c>
      <c r="C54" s="43" t="s">
        <v>349</v>
      </c>
      <c r="D54" s="43" t="s">
        <v>350</v>
      </c>
      <c r="E54" s="62" t="s">
        <v>351</v>
      </c>
    </row>
    <row r="55" spans="1:5" ht="13.5" thickBot="1">
      <c r="A55" s="52">
        <v>1</v>
      </c>
      <c r="B55" s="53">
        <v>2</v>
      </c>
      <c r="C55" s="53">
        <v>3</v>
      </c>
      <c r="D55" s="53">
        <v>4</v>
      </c>
      <c r="E55" s="54">
        <v>5</v>
      </c>
    </row>
    <row r="56" spans="1:5" ht="13.5" thickBot="1">
      <c r="A56" s="35" t="s">
        <v>3</v>
      </c>
      <c r="B56" s="49" t="s">
        <v>135</v>
      </c>
      <c r="C56" s="535">
        <f>SUM(C57:C78)</f>
        <v>1457601</v>
      </c>
      <c r="D56" s="535">
        <f>SUM(D57:D78)</f>
        <v>1490943.4</v>
      </c>
      <c r="E56" s="771">
        <f>SUM(E57:E78)</f>
        <v>1525751.1673999997</v>
      </c>
    </row>
    <row r="57" spans="1:5" ht="12.75">
      <c r="A57" s="25" t="s">
        <v>118</v>
      </c>
      <c r="B57" s="16" t="s">
        <v>31</v>
      </c>
      <c r="C57" s="772">
        <f>1Önk!G53</f>
        <v>442266</v>
      </c>
      <c r="D57" s="775">
        <f aca="true" t="shared" si="2" ref="D57:E59">C57</f>
        <v>442266</v>
      </c>
      <c r="E57" s="776">
        <f t="shared" si="2"/>
        <v>442266</v>
      </c>
    </row>
    <row r="58" spans="1:5" ht="12.75">
      <c r="A58" s="23" t="s">
        <v>119</v>
      </c>
      <c r="B58" s="12" t="s">
        <v>172</v>
      </c>
      <c r="C58" s="773">
        <f>1Önk!G54</f>
        <v>23980</v>
      </c>
      <c r="D58" s="523">
        <f t="shared" si="2"/>
        <v>23980</v>
      </c>
      <c r="E58" s="521">
        <f t="shared" si="2"/>
        <v>23980</v>
      </c>
    </row>
    <row r="59" spans="1:5" ht="12.75">
      <c r="A59" s="21" t="s">
        <v>120</v>
      </c>
      <c r="B59" s="9" t="s">
        <v>32</v>
      </c>
      <c r="C59" s="773">
        <f>1Önk!G55</f>
        <v>153933</v>
      </c>
      <c r="D59" s="520">
        <f t="shared" si="2"/>
        <v>153933</v>
      </c>
      <c r="E59" s="522">
        <f t="shared" si="2"/>
        <v>153933</v>
      </c>
    </row>
    <row r="60" spans="1:5" ht="12.75">
      <c r="A60" s="21" t="s">
        <v>121</v>
      </c>
      <c r="B60" s="9" t="s">
        <v>173</v>
      </c>
      <c r="C60" s="773">
        <f>1Önk!G56</f>
        <v>51960</v>
      </c>
      <c r="D60" s="523">
        <f aca="true" t="shared" si="3" ref="D60:E62">C60*1.05</f>
        <v>54558</v>
      </c>
      <c r="E60" s="521">
        <f t="shared" si="3"/>
        <v>57285.9</v>
      </c>
    </row>
    <row r="61" spans="1:5" ht="12.75">
      <c r="A61" s="21" t="s">
        <v>134</v>
      </c>
      <c r="B61" s="18" t="s">
        <v>174</v>
      </c>
      <c r="C61" s="773">
        <f>1Önk!G57</f>
        <v>109662</v>
      </c>
      <c r="D61" s="523">
        <f t="shared" si="3"/>
        <v>115145.1</v>
      </c>
      <c r="E61" s="521">
        <f t="shared" si="3"/>
        <v>120902.35500000001</v>
      </c>
    </row>
    <row r="62" spans="1:5" ht="12.75">
      <c r="A62" s="21" t="s">
        <v>484</v>
      </c>
      <c r="B62" s="18" t="s">
        <v>175</v>
      </c>
      <c r="C62" s="773">
        <f>1Önk!G58</f>
        <v>65419</v>
      </c>
      <c r="D62" s="523">
        <f t="shared" si="3"/>
        <v>68689.95</v>
      </c>
      <c r="E62" s="521">
        <f t="shared" si="3"/>
        <v>72124.4475</v>
      </c>
    </row>
    <row r="63" spans="1:5" ht="12.75">
      <c r="A63" s="21" t="s">
        <v>485</v>
      </c>
      <c r="B63" s="18" t="s">
        <v>91</v>
      </c>
      <c r="C63" s="773">
        <f>1Önk!G59</f>
        <v>64900</v>
      </c>
      <c r="D63" s="523">
        <f>C63*1.04</f>
        <v>67496</v>
      </c>
      <c r="E63" s="521">
        <f>D63*1.04</f>
        <v>70195.84</v>
      </c>
    </row>
    <row r="64" spans="1:5" ht="12.75">
      <c r="A64" s="21" t="s">
        <v>533</v>
      </c>
      <c r="B64" s="9" t="s">
        <v>85</v>
      </c>
      <c r="C64" s="773">
        <f>1Önk!G60</f>
        <v>57260</v>
      </c>
      <c r="D64" s="523">
        <f>C64*1.03</f>
        <v>58977.8</v>
      </c>
      <c r="E64" s="521">
        <f>D64*1.03</f>
        <v>60747.134000000005</v>
      </c>
    </row>
    <row r="65" spans="1:5" ht="12.75">
      <c r="A65" s="21" t="s">
        <v>486</v>
      </c>
      <c r="B65" s="40" t="s">
        <v>182</v>
      </c>
      <c r="C65" s="773">
        <f>1Önk!G61</f>
        <v>303535</v>
      </c>
      <c r="D65" s="523">
        <f aca="true" t="shared" si="4" ref="D65:E78">C65*1.03</f>
        <v>312641.05</v>
      </c>
      <c r="E65" s="521">
        <f t="shared" si="4"/>
        <v>322020.2815</v>
      </c>
    </row>
    <row r="66" spans="1:5" ht="12.75">
      <c r="A66" s="21" t="s">
        <v>487</v>
      </c>
      <c r="B66" s="40" t="s">
        <v>183</v>
      </c>
      <c r="C66" s="773"/>
      <c r="D66" s="523">
        <f t="shared" si="4"/>
        <v>0</v>
      </c>
      <c r="E66" s="521">
        <f t="shared" si="4"/>
        <v>0</v>
      </c>
    </row>
    <row r="67" spans="1:5" ht="12.75">
      <c r="A67" s="21" t="s">
        <v>488</v>
      </c>
      <c r="B67" s="40" t="s">
        <v>184</v>
      </c>
      <c r="C67" s="773">
        <f>1Önk!G63</f>
        <v>24488</v>
      </c>
      <c r="D67" s="523">
        <f t="shared" si="4"/>
        <v>25222.64</v>
      </c>
      <c r="E67" s="521">
        <f t="shared" si="4"/>
        <v>25979.3192</v>
      </c>
    </row>
    <row r="68" spans="1:5" ht="12.75">
      <c r="A68" s="21" t="s">
        <v>489</v>
      </c>
      <c r="B68" s="201" t="s">
        <v>185</v>
      </c>
      <c r="C68" s="773"/>
      <c r="D68" s="523">
        <f t="shared" si="4"/>
        <v>0</v>
      </c>
      <c r="E68" s="521">
        <f t="shared" si="4"/>
        <v>0</v>
      </c>
    </row>
    <row r="69" spans="1:5" ht="12.75">
      <c r="A69" s="21" t="s">
        <v>490</v>
      </c>
      <c r="B69" s="40" t="s">
        <v>186</v>
      </c>
      <c r="C69" s="773">
        <f>1Önk!G65</f>
        <v>11000</v>
      </c>
      <c r="D69" s="523">
        <f t="shared" si="4"/>
        <v>11330</v>
      </c>
      <c r="E69" s="521">
        <f t="shared" si="4"/>
        <v>11669.9</v>
      </c>
    </row>
    <row r="70" spans="1:5" ht="12.75">
      <c r="A70" s="21" t="s">
        <v>491</v>
      </c>
      <c r="B70" s="40" t="s">
        <v>187</v>
      </c>
      <c r="C70" s="773">
        <f>1Önk!G66</f>
        <v>23000</v>
      </c>
      <c r="D70" s="523">
        <f t="shared" si="4"/>
        <v>23690</v>
      </c>
      <c r="E70" s="521">
        <f t="shared" si="4"/>
        <v>24400.7</v>
      </c>
    </row>
    <row r="71" spans="1:5" ht="12.75">
      <c r="A71" s="21" t="s">
        <v>492</v>
      </c>
      <c r="B71" s="40" t="s">
        <v>534</v>
      </c>
      <c r="C71" s="773">
        <f>1Önk!G67</f>
        <v>75748</v>
      </c>
      <c r="D71" s="523">
        <f>C71*1.07</f>
        <v>81050.36</v>
      </c>
      <c r="E71" s="521">
        <f>D71*1.07</f>
        <v>86723.8852</v>
      </c>
    </row>
    <row r="72" spans="1:5" ht="12.75">
      <c r="A72" s="21" t="s">
        <v>493</v>
      </c>
      <c r="B72" s="40" t="s">
        <v>188</v>
      </c>
      <c r="C72" s="773">
        <f>1Önk!G68</f>
        <v>0</v>
      </c>
      <c r="D72" s="523">
        <f t="shared" si="4"/>
        <v>0</v>
      </c>
      <c r="E72" s="521">
        <f t="shared" si="4"/>
        <v>0</v>
      </c>
    </row>
    <row r="73" spans="1:5" ht="12.75">
      <c r="A73" s="21" t="s">
        <v>523</v>
      </c>
      <c r="B73" s="40" t="s">
        <v>189</v>
      </c>
      <c r="C73" s="773">
        <f>1Önk!G69</f>
        <v>11030</v>
      </c>
      <c r="D73" s="523">
        <f t="shared" si="4"/>
        <v>11360.9</v>
      </c>
      <c r="E73" s="521">
        <f t="shared" si="4"/>
        <v>11701.727</v>
      </c>
    </row>
    <row r="74" spans="1:5" ht="12.75">
      <c r="A74" s="21" t="s">
        <v>494</v>
      </c>
      <c r="B74" s="9" t="s">
        <v>190</v>
      </c>
      <c r="C74" s="773">
        <f>1Önk!G70</f>
        <v>1400</v>
      </c>
      <c r="D74" s="523">
        <f t="shared" si="4"/>
        <v>1442</v>
      </c>
      <c r="E74" s="521">
        <f t="shared" si="4"/>
        <v>1485.26</v>
      </c>
    </row>
    <row r="75" spans="1:5" ht="12.75">
      <c r="A75" s="21" t="s">
        <v>495</v>
      </c>
      <c r="B75" s="9" t="s">
        <v>191</v>
      </c>
      <c r="C75" s="773">
        <f>1Önk!G71</f>
        <v>500</v>
      </c>
      <c r="D75" s="523">
        <f t="shared" si="4"/>
        <v>515</v>
      </c>
      <c r="E75" s="521">
        <f t="shared" si="4"/>
        <v>530.45</v>
      </c>
    </row>
    <row r="76" spans="1:5" ht="12.75">
      <c r="A76" s="20" t="s">
        <v>496</v>
      </c>
      <c r="B76" s="19" t="s">
        <v>192</v>
      </c>
      <c r="C76" s="773">
        <f>1Önk!G72</f>
        <v>0</v>
      </c>
      <c r="D76" s="523">
        <f t="shared" si="4"/>
        <v>0</v>
      </c>
      <c r="E76" s="521">
        <f t="shared" si="4"/>
        <v>0</v>
      </c>
    </row>
    <row r="77" spans="1:5" ht="12.75">
      <c r="A77" s="21" t="s">
        <v>497</v>
      </c>
      <c r="B77" s="9" t="s">
        <v>193</v>
      </c>
      <c r="C77" s="773">
        <f>1Önk!G73</f>
        <v>35720</v>
      </c>
      <c r="D77" s="523">
        <f t="shared" si="4"/>
        <v>36791.6</v>
      </c>
      <c r="E77" s="521">
        <f t="shared" si="4"/>
        <v>37895.348</v>
      </c>
    </row>
    <row r="78" spans="1:5" ht="13.5" thickBot="1">
      <c r="A78" s="20" t="s">
        <v>498</v>
      </c>
      <c r="B78" s="8" t="s">
        <v>194</v>
      </c>
      <c r="C78" s="774">
        <f>1Önk!G74</f>
        <v>1800</v>
      </c>
      <c r="D78" s="523">
        <f t="shared" si="4"/>
        <v>1854</v>
      </c>
      <c r="E78" s="777">
        <f t="shared" si="4"/>
        <v>1909.6200000000001</v>
      </c>
    </row>
    <row r="79" spans="1:5" ht="13.5" thickBot="1">
      <c r="A79" s="32" t="s">
        <v>4</v>
      </c>
      <c r="B79" s="47" t="s">
        <v>144</v>
      </c>
      <c r="C79" s="535">
        <f>SUM(C80:C83)</f>
        <v>323674</v>
      </c>
      <c r="D79" s="535">
        <f>SUM(D80:D83)</f>
        <v>0</v>
      </c>
      <c r="E79" s="771">
        <f>SUM(E80:E83)</f>
        <v>0</v>
      </c>
    </row>
    <row r="80" spans="1:5" ht="12.75">
      <c r="A80" s="23" t="s">
        <v>122</v>
      </c>
      <c r="B80" s="12" t="s">
        <v>84</v>
      </c>
      <c r="C80" s="772">
        <f>1Önk!G76</f>
        <v>1958</v>
      </c>
      <c r="D80" s="520">
        <v>0</v>
      </c>
      <c r="E80" s="522"/>
    </row>
    <row r="81" spans="1:5" ht="12.75">
      <c r="A81" s="23" t="s">
        <v>123</v>
      </c>
      <c r="B81" s="9" t="s">
        <v>179</v>
      </c>
      <c r="C81" s="773">
        <f>1Önk!G77</f>
        <v>273107</v>
      </c>
      <c r="D81" s="520"/>
      <c r="E81" s="522"/>
    </row>
    <row r="82" spans="1:5" ht="12.75">
      <c r="A82" s="23" t="s">
        <v>124</v>
      </c>
      <c r="B82" s="9" t="s">
        <v>180</v>
      </c>
      <c r="C82" s="773">
        <f>1Önk!G78</f>
        <v>392</v>
      </c>
      <c r="D82" s="520"/>
      <c r="E82" s="522"/>
    </row>
    <row r="83" spans="1:5" ht="13.5" thickBot="1">
      <c r="A83" s="23" t="s">
        <v>125</v>
      </c>
      <c r="B83" s="9" t="s">
        <v>181</v>
      </c>
      <c r="C83" s="774">
        <f>1Önk!G79</f>
        <v>48217</v>
      </c>
      <c r="D83" s="520"/>
      <c r="E83" s="522"/>
    </row>
    <row r="84" spans="1:5" ht="13.5" thickBot="1">
      <c r="A84" s="32" t="s">
        <v>5</v>
      </c>
      <c r="B84" s="47" t="s">
        <v>150</v>
      </c>
      <c r="C84" s="535">
        <f>SUM(C85:C86)</f>
        <v>9000</v>
      </c>
      <c r="D84" s="535">
        <f>SUM(D85:D86)</f>
        <v>9000</v>
      </c>
      <c r="E84" s="771">
        <f>SUM(E85:E86)</f>
        <v>9000</v>
      </c>
    </row>
    <row r="85" spans="1:5" ht="12.75">
      <c r="A85" s="23" t="s">
        <v>96</v>
      </c>
      <c r="B85" s="12" t="s">
        <v>42</v>
      </c>
      <c r="C85" s="772">
        <f>1Önk!G81</f>
        <v>9000</v>
      </c>
      <c r="D85" s="520">
        <v>9000</v>
      </c>
      <c r="E85" s="522">
        <v>9000</v>
      </c>
    </row>
    <row r="86" spans="1:5" ht="13.5" thickBot="1">
      <c r="A86" s="21" t="s">
        <v>97</v>
      </c>
      <c r="B86" s="9" t="s">
        <v>43</v>
      </c>
      <c r="C86" s="774">
        <f>1Önk!G82</f>
        <v>0</v>
      </c>
      <c r="D86" s="520"/>
      <c r="E86" s="522"/>
    </row>
    <row r="87" spans="1:5" ht="13.5" thickBot="1">
      <c r="A87" s="32" t="s">
        <v>6</v>
      </c>
      <c r="B87" s="47" t="s">
        <v>307</v>
      </c>
      <c r="C87" s="535">
        <f>1Önk!G83</f>
        <v>0</v>
      </c>
      <c r="D87" s="73"/>
      <c r="E87" s="74"/>
    </row>
    <row r="88" spans="1:5" ht="13.5" thickBot="1">
      <c r="A88" s="32" t="s">
        <v>7</v>
      </c>
      <c r="B88" s="47" t="s">
        <v>178</v>
      </c>
      <c r="C88" s="535">
        <f>1Önk!G84</f>
        <v>0</v>
      </c>
      <c r="D88" s="73"/>
      <c r="E88" s="74"/>
    </row>
    <row r="89" spans="1:5" ht="13.5" thickBot="1">
      <c r="A89" s="32" t="s">
        <v>8</v>
      </c>
      <c r="B89" s="47" t="s">
        <v>126</v>
      </c>
      <c r="C89" s="535">
        <f>1Önk!G85</f>
        <v>0</v>
      </c>
      <c r="D89" s="73"/>
      <c r="E89" s="74"/>
    </row>
    <row r="90" spans="1:5" ht="12.75">
      <c r="A90" s="23" t="s">
        <v>106</v>
      </c>
      <c r="B90" s="12" t="s">
        <v>177</v>
      </c>
      <c r="C90" s="772">
        <f>1Önk!G86</f>
        <v>0</v>
      </c>
      <c r="D90" s="520"/>
      <c r="E90" s="522"/>
    </row>
    <row r="91" spans="1:5" ht="13.5" thickBot="1">
      <c r="A91" s="24" t="s">
        <v>107</v>
      </c>
      <c r="B91" s="19" t="s">
        <v>176</v>
      </c>
      <c r="C91" s="774">
        <f>1Önk!G87</f>
        <v>0</v>
      </c>
      <c r="D91" s="520"/>
      <c r="E91" s="522"/>
    </row>
    <row r="92" spans="1:5" ht="13.5" thickBot="1">
      <c r="A92" s="32" t="s">
        <v>9</v>
      </c>
      <c r="B92" s="51" t="s">
        <v>127</v>
      </c>
      <c r="C92" s="535">
        <f>C56+C79+C84+C87+C88+C89-C65</f>
        <v>1486740</v>
      </c>
      <c r="D92" s="535">
        <f>D56+D79+D84+D87+D88+D89-D65</f>
        <v>1187302.3499999999</v>
      </c>
      <c r="E92" s="771">
        <f>E56+E79+E84+E87+E88+E89-E65</f>
        <v>1212730.8858999996</v>
      </c>
    </row>
  </sheetData>
  <sheetProtection sheet="1"/>
  <protectedRanges>
    <protectedRange sqref="D5:E45" name="Tartom?ny1"/>
  </protectedRanges>
  <mergeCells count="2">
    <mergeCell ref="A52:E52"/>
    <mergeCell ref="D53:E5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2008-2009-2010. évi alakulását külön bemutató mérleg&amp;R&amp;"Times New Roman CE,Félkövér dőlt"&amp;11 14. sz. melléklet</oddHeader>
  </headerFooter>
  <ignoredErrors>
    <ignoredError sqref="A27:A33 A79 A56:A70 A84:A92 A35:A43" numberStoredAsText="1"/>
    <ignoredError sqref="D71:E7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875" style="120" customWidth="1"/>
    <col min="2" max="2" width="30.50390625" style="145" customWidth="1"/>
    <col min="3" max="4" width="9.00390625" style="145" customWidth="1"/>
    <col min="5" max="5" width="9.50390625" style="145" customWidth="1"/>
    <col min="6" max="6" width="8.875" style="145" customWidth="1"/>
    <col min="7" max="7" width="8.625" style="145" customWidth="1"/>
    <col min="8" max="8" width="8.875" style="145" customWidth="1"/>
    <col min="9" max="9" width="8.125" style="145" customWidth="1"/>
    <col min="10" max="14" width="9.50390625" style="145" customWidth="1"/>
    <col min="15" max="15" width="12.625" style="120" customWidth="1"/>
    <col min="16" max="16384" width="9.375" style="145" customWidth="1"/>
  </cols>
  <sheetData>
    <row r="1" spans="1:15" s="120" customFormat="1" ht="36.75" customHeight="1" thickBot="1">
      <c r="A1" s="117" t="s">
        <v>1</v>
      </c>
      <c r="B1" s="118" t="s">
        <v>48</v>
      </c>
      <c r="C1" s="118" t="s">
        <v>62</v>
      </c>
      <c r="D1" s="118" t="s">
        <v>63</v>
      </c>
      <c r="E1" s="118" t="s">
        <v>64</v>
      </c>
      <c r="F1" s="118" t="s">
        <v>65</v>
      </c>
      <c r="G1" s="118" t="s">
        <v>66</v>
      </c>
      <c r="H1" s="118" t="s">
        <v>67</v>
      </c>
      <c r="I1" s="118" t="s">
        <v>68</v>
      </c>
      <c r="J1" s="118" t="s">
        <v>69</v>
      </c>
      <c r="K1" s="118" t="s">
        <v>70</v>
      </c>
      <c r="L1" s="118" t="s">
        <v>71</v>
      </c>
      <c r="M1" s="118" t="s">
        <v>72</v>
      </c>
      <c r="N1" s="118" t="s">
        <v>73</v>
      </c>
      <c r="O1" s="119" t="s">
        <v>36</v>
      </c>
    </row>
    <row r="2" spans="1:15" s="122" customFormat="1" ht="15" customHeight="1" thickBot="1">
      <c r="A2" s="121" t="s">
        <v>3</v>
      </c>
      <c r="B2" s="1029" t="s">
        <v>38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1"/>
    </row>
    <row r="3" spans="1:15" s="131" customFormat="1" ht="13.5" customHeight="1">
      <c r="A3" s="127">
        <v>2</v>
      </c>
      <c r="B3" s="128" t="s">
        <v>92</v>
      </c>
      <c r="C3" s="129">
        <f>1Önk!G6/12</f>
        <v>4953.583333333333</v>
      </c>
      <c r="D3" s="129">
        <f>$C$3</f>
        <v>4953.583333333333</v>
      </c>
      <c r="E3" s="129">
        <f aca="true" t="shared" si="0" ref="E3:N3">$C$3</f>
        <v>4953.583333333333</v>
      </c>
      <c r="F3" s="129">
        <f t="shared" si="0"/>
        <v>4953.583333333333</v>
      </c>
      <c r="G3" s="129">
        <f t="shared" si="0"/>
        <v>4953.583333333333</v>
      </c>
      <c r="H3" s="129">
        <f t="shared" si="0"/>
        <v>4953.583333333333</v>
      </c>
      <c r="I3" s="129">
        <f t="shared" si="0"/>
        <v>4953.583333333333</v>
      </c>
      <c r="J3" s="129">
        <f t="shared" si="0"/>
        <v>4953.583333333333</v>
      </c>
      <c r="K3" s="129">
        <f t="shared" si="0"/>
        <v>4953.583333333333</v>
      </c>
      <c r="L3" s="129">
        <f t="shared" si="0"/>
        <v>4953.583333333333</v>
      </c>
      <c r="M3" s="129">
        <f t="shared" si="0"/>
        <v>4953.583333333333</v>
      </c>
      <c r="N3" s="129">
        <f t="shared" si="0"/>
        <v>4953.583333333333</v>
      </c>
      <c r="O3" s="130">
        <f aca="true" t="shared" si="1" ref="O3:O26">SUM(C3:N3)</f>
        <v>59443.00000000001</v>
      </c>
    </row>
    <row r="4" spans="1:15" s="131" customFormat="1" ht="13.5" customHeight="1">
      <c r="A4" s="127">
        <v>3</v>
      </c>
      <c r="B4" s="132" t="s">
        <v>542</v>
      </c>
      <c r="C4" s="133">
        <f>1Önk!G7/12</f>
        <v>41797.666666666664</v>
      </c>
      <c r="D4" s="133">
        <f>$C$4</f>
        <v>41797.666666666664</v>
      </c>
      <c r="E4" s="133">
        <f aca="true" t="shared" si="2" ref="E4:N4">$C$4</f>
        <v>41797.666666666664</v>
      </c>
      <c r="F4" s="133">
        <f t="shared" si="2"/>
        <v>41797.666666666664</v>
      </c>
      <c r="G4" s="133">
        <f t="shared" si="2"/>
        <v>41797.666666666664</v>
      </c>
      <c r="H4" s="133">
        <f t="shared" si="2"/>
        <v>41797.666666666664</v>
      </c>
      <c r="I4" s="133">
        <f t="shared" si="2"/>
        <v>41797.666666666664</v>
      </c>
      <c r="J4" s="133">
        <f t="shared" si="2"/>
        <v>41797.666666666664</v>
      </c>
      <c r="K4" s="133">
        <f t="shared" si="2"/>
        <v>41797.666666666664</v>
      </c>
      <c r="L4" s="133">
        <f t="shared" si="2"/>
        <v>41797.666666666664</v>
      </c>
      <c r="M4" s="133">
        <f t="shared" si="2"/>
        <v>41797.666666666664</v>
      </c>
      <c r="N4" s="133">
        <f t="shared" si="2"/>
        <v>41797.666666666664</v>
      </c>
      <c r="O4" s="134">
        <f t="shared" si="1"/>
        <v>501572.00000000006</v>
      </c>
    </row>
    <row r="5" spans="1:15" s="131" customFormat="1" ht="13.5" customHeight="1">
      <c r="A5" s="127">
        <v>4</v>
      </c>
      <c r="B5" s="128" t="s">
        <v>86</v>
      </c>
      <c r="C5" s="129">
        <f>1Önk!G14/12</f>
        <v>27430.5</v>
      </c>
      <c r="D5" s="129">
        <f>$C$5</f>
        <v>27430.5</v>
      </c>
      <c r="E5" s="129">
        <f aca="true" t="shared" si="3" ref="E5:N5">$C$5</f>
        <v>27430.5</v>
      </c>
      <c r="F5" s="129">
        <f t="shared" si="3"/>
        <v>27430.5</v>
      </c>
      <c r="G5" s="129">
        <f t="shared" si="3"/>
        <v>27430.5</v>
      </c>
      <c r="H5" s="129">
        <f t="shared" si="3"/>
        <v>27430.5</v>
      </c>
      <c r="I5" s="129">
        <f t="shared" si="3"/>
        <v>27430.5</v>
      </c>
      <c r="J5" s="129">
        <f t="shared" si="3"/>
        <v>27430.5</v>
      </c>
      <c r="K5" s="129">
        <f t="shared" si="3"/>
        <v>27430.5</v>
      </c>
      <c r="L5" s="129">
        <f t="shared" si="3"/>
        <v>27430.5</v>
      </c>
      <c r="M5" s="129">
        <f t="shared" si="3"/>
        <v>27430.5</v>
      </c>
      <c r="N5" s="129">
        <f t="shared" si="3"/>
        <v>27430.5</v>
      </c>
      <c r="O5" s="130">
        <f t="shared" si="1"/>
        <v>329166</v>
      </c>
    </row>
    <row r="6" spans="1:15" s="131" customFormat="1" ht="13.5" customHeight="1">
      <c r="A6" s="127">
        <v>5</v>
      </c>
      <c r="B6" s="128" t="s">
        <v>94</v>
      </c>
      <c r="C6" s="129"/>
      <c r="D6" s="129"/>
      <c r="E6" s="129"/>
      <c r="F6" s="129"/>
      <c r="G6" s="129">
        <v>30000</v>
      </c>
      <c r="H6" s="129"/>
      <c r="I6" s="129"/>
      <c r="J6" s="129">
        <v>450</v>
      </c>
      <c r="K6" s="129"/>
      <c r="L6" s="129"/>
      <c r="M6" s="129">
        <v>15940</v>
      </c>
      <c r="N6" s="129"/>
      <c r="O6" s="130">
        <f t="shared" si="1"/>
        <v>46390</v>
      </c>
    </row>
    <row r="7" spans="1:15" s="131" customFormat="1" ht="13.5" customHeight="1">
      <c r="A7" s="127">
        <v>6</v>
      </c>
      <c r="B7" s="128" t="s">
        <v>45</v>
      </c>
      <c r="C7" s="129">
        <f>(1Önk!G26+1Önk!G29)/12</f>
        <v>2027</v>
      </c>
      <c r="D7" s="129">
        <f>$C$7</f>
        <v>2027</v>
      </c>
      <c r="E7" s="129">
        <f aca="true" t="shared" si="4" ref="E7:N7">$C$7</f>
        <v>2027</v>
      </c>
      <c r="F7" s="129">
        <f>$C$7+1Önk!G32</f>
        <v>4027</v>
      </c>
      <c r="G7" s="129">
        <f t="shared" si="4"/>
        <v>2027</v>
      </c>
      <c r="H7" s="129">
        <f t="shared" si="4"/>
        <v>2027</v>
      </c>
      <c r="I7" s="129">
        <f t="shared" si="4"/>
        <v>2027</v>
      </c>
      <c r="J7" s="129">
        <f>$C$7+1Önk!G30</f>
        <v>12027</v>
      </c>
      <c r="K7" s="129">
        <f t="shared" si="4"/>
        <v>2027</v>
      </c>
      <c r="L7" s="129">
        <f t="shared" si="4"/>
        <v>2027</v>
      </c>
      <c r="M7" s="129">
        <f t="shared" si="4"/>
        <v>2027</v>
      </c>
      <c r="N7" s="129">
        <f t="shared" si="4"/>
        <v>2027</v>
      </c>
      <c r="O7" s="130">
        <f t="shared" si="1"/>
        <v>36324</v>
      </c>
    </row>
    <row r="8" spans="1:15" s="131" customFormat="1" ht="13.5" customHeight="1">
      <c r="A8" s="127">
        <v>7</v>
      </c>
      <c r="B8" s="128" t="s">
        <v>543</v>
      </c>
      <c r="C8" s="129"/>
      <c r="D8" s="129"/>
      <c r="E8" s="129"/>
      <c r="F8" s="129"/>
      <c r="G8" s="129">
        <f>1Önk!G40/2</f>
        <v>159190</v>
      </c>
      <c r="H8" s="129"/>
      <c r="I8" s="129"/>
      <c r="J8" s="129"/>
      <c r="K8" s="129">
        <f>G8</f>
        <v>159190</v>
      </c>
      <c r="L8" s="129"/>
      <c r="M8" s="129"/>
      <c r="N8" s="129"/>
      <c r="O8" s="130">
        <f t="shared" si="1"/>
        <v>318380</v>
      </c>
    </row>
    <row r="9" spans="1:15" s="131" customFormat="1" ht="13.5" customHeight="1">
      <c r="A9" s="127">
        <v>8</v>
      </c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>
        <f t="shared" si="1"/>
        <v>0</v>
      </c>
    </row>
    <row r="10" spans="1:15" s="131" customFormat="1" ht="13.5" customHeight="1">
      <c r="A10" s="127">
        <v>9</v>
      </c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1"/>
        <v>0</v>
      </c>
    </row>
    <row r="11" spans="1:15" s="131" customFormat="1" ht="13.5" customHeight="1" thickBot="1">
      <c r="A11" s="778">
        <v>10</v>
      </c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>
        <f t="shared" si="1"/>
        <v>0</v>
      </c>
    </row>
    <row r="12" spans="1:15" s="122" customFormat="1" ht="15.75" customHeight="1" thickBot="1">
      <c r="A12" s="121">
        <v>11</v>
      </c>
      <c r="B12" s="55" t="s">
        <v>128</v>
      </c>
      <c r="C12" s="138">
        <f aca="true" t="shared" si="5" ref="C12:N12">SUM(C3:C11)</f>
        <v>76208.75</v>
      </c>
      <c r="D12" s="138">
        <f t="shared" si="5"/>
        <v>76208.75</v>
      </c>
      <c r="E12" s="138">
        <f t="shared" si="5"/>
        <v>76208.75</v>
      </c>
      <c r="F12" s="138">
        <f t="shared" si="5"/>
        <v>78208.75</v>
      </c>
      <c r="G12" s="138">
        <f t="shared" si="5"/>
        <v>265398.75</v>
      </c>
      <c r="H12" s="138">
        <f t="shared" si="5"/>
        <v>76208.75</v>
      </c>
      <c r="I12" s="138">
        <f t="shared" si="5"/>
        <v>76208.75</v>
      </c>
      <c r="J12" s="138">
        <f t="shared" si="5"/>
        <v>86658.75</v>
      </c>
      <c r="K12" s="138">
        <f t="shared" si="5"/>
        <v>235398.75</v>
      </c>
      <c r="L12" s="138">
        <f t="shared" si="5"/>
        <v>76208.75</v>
      </c>
      <c r="M12" s="138">
        <f t="shared" si="5"/>
        <v>92148.75</v>
      </c>
      <c r="N12" s="138">
        <f t="shared" si="5"/>
        <v>76208.75</v>
      </c>
      <c r="O12" s="139">
        <f>SUM(C12:N12)</f>
        <v>1291275</v>
      </c>
    </row>
    <row r="13" spans="1:15" s="122" customFormat="1" ht="15" customHeight="1" thickBot="1">
      <c r="A13" s="121">
        <v>12</v>
      </c>
      <c r="B13" s="1029" t="s">
        <v>40</v>
      </c>
      <c r="C13" s="1030"/>
      <c r="D13" s="1030"/>
      <c r="E13" s="1030"/>
      <c r="F13" s="1030"/>
      <c r="G13" s="1030"/>
      <c r="H13" s="1030"/>
      <c r="I13" s="1030"/>
      <c r="J13" s="1030"/>
      <c r="K13" s="1030"/>
      <c r="L13" s="1030"/>
      <c r="M13" s="1030"/>
      <c r="N13" s="1030"/>
      <c r="O13" s="1031"/>
    </row>
    <row r="14" spans="1:15" s="131" customFormat="1" ht="13.5" customHeight="1">
      <c r="A14" s="140">
        <v>13</v>
      </c>
      <c r="B14" s="132" t="s">
        <v>50</v>
      </c>
      <c r="C14" s="133">
        <f>(1Önk!G53+1Önk!G54)/12</f>
        <v>38853.833333333336</v>
      </c>
      <c r="D14" s="133">
        <f>$C$14</f>
        <v>38853.833333333336</v>
      </c>
      <c r="E14" s="133">
        <f aca="true" t="shared" si="6" ref="E14:N14">$C$14</f>
        <v>38853.833333333336</v>
      </c>
      <c r="F14" s="133">
        <f t="shared" si="6"/>
        <v>38853.833333333336</v>
      </c>
      <c r="G14" s="133">
        <f t="shared" si="6"/>
        <v>38853.833333333336</v>
      </c>
      <c r="H14" s="133">
        <f t="shared" si="6"/>
        <v>38853.833333333336</v>
      </c>
      <c r="I14" s="133">
        <f t="shared" si="6"/>
        <v>38853.833333333336</v>
      </c>
      <c r="J14" s="133">
        <f t="shared" si="6"/>
        <v>38853.833333333336</v>
      </c>
      <c r="K14" s="133">
        <f t="shared" si="6"/>
        <v>38853.833333333336</v>
      </c>
      <c r="L14" s="133">
        <f t="shared" si="6"/>
        <v>38853.833333333336</v>
      </c>
      <c r="M14" s="133">
        <f t="shared" si="6"/>
        <v>38853.833333333336</v>
      </c>
      <c r="N14" s="133">
        <f t="shared" si="6"/>
        <v>38853.833333333336</v>
      </c>
      <c r="O14" s="134">
        <f t="shared" si="1"/>
        <v>466245.99999999994</v>
      </c>
    </row>
    <row r="15" spans="1:15" s="131" customFormat="1" ht="13.5" customHeight="1">
      <c r="A15" s="127">
        <v>14</v>
      </c>
      <c r="B15" s="128" t="s">
        <v>74</v>
      </c>
      <c r="C15" s="129">
        <f>1Önk!G55/12</f>
        <v>12827.75</v>
      </c>
      <c r="D15" s="129">
        <f>$C$15</f>
        <v>12827.75</v>
      </c>
      <c r="E15" s="129">
        <f aca="true" t="shared" si="7" ref="E15:N15">$C$15</f>
        <v>12827.75</v>
      </c>
      <c r="F15" s="129">
        <f t="shared" si="7"/>
        <v>12827.75</v>
      </c>
      <c r="G15" s="129">
        <f t="shared" si="7"/>
        <v>12827.75</v>
      </c>
      <c r="H15" s="129">
        <f t="shared" si="7"/>
        <v>12827.75</v>
      </c>
      <c r="I15" s="129">
        <f t="shared" si="7"/>
        <v>12827.75</v>
      </c>
      <c r="J15" s="129">
        <f t="shared" si="7"/>
        <v>12827.75</v>
      </c>
      <c r="K15" s="129">
        <f t="shared" si="7"/>
        <v>12827.75</v>
      </c>
      <c r="L15" s="129">
        <f t="shared" si="7"/>
        <v>12827.75</v>
      </c>
      <c r="M15" s="129">
        <f t="shared" si="7"/>
        <v>12827.75</v>
      </c>
      <c r="N15" s="129">
        <f t="shared" si="7"/>
        <v>12827.75</v>
      </c>
      <c r="O15" s="130">
        <f t="shared" si="1"/>
        <v>153933</v>
      </c>
    </row>
    <row r="16" spans="1:15" s="131" customFormat="1" ht="13.5" customHeight="1">
      <c r="A16" s="127">
        <v>15</v>
      </c>
      <c r="B16" s="128" t="s">
        <v>41</v>
      </c>
      <c r="C16" s="129">
        <f>(1Önk!G56+1Önk!G57+1Önk!G58)/12</f>
        <v>18920.083333333332</v>
      </c>
      <c r="D16" s="129">
        <f>$C$16</f>
        <v>18920.083333333332</v>
      </c>
      <c r="E16" s="129">
        <f aca="true" t="shared" si="8" ref="E16:N16">$C$16</f>
        <v>18920.083333333332</v>
      </c>
      <c r="F16" s="129">
        <f t="shared" si="8"/>
        <v>18920.083333333332</v>
      </c>
      <c r="G16" s="129">
        <f t="shared" si="8"/>
        <v>18920.083333333332</v>
      </c>
      <c r="H16" s="129">
        <f t="shared" si="8"/>
        <v>18920.083333333332</v>
      </c>
      <c r="I16" s="129">
        <f t="shared" si="8"/>
        <v>18920.083333333332</v>
      </c>
      <c r="J16" s="129">
        <f t="shared" si="8"/>
        <v>18920.083333333332</v>
      </c>
      <c r="K16" s="129">
        <f t="shared" si="8"/>
        <v>18920.083333333332</v>
      </c>
      <c r="L16" s="129">
        <f t="shared" si="8"/>
        <v>18920.083333333332</v>
      </c>
      <c r="M16" s="129">
        <f t="shared" si="8"/>
        <v>18920.083333333332</v>
      </c>
      <c r="N16" s="129">
        <f t="shared" si="8"/>
        <v>18920.083333333332</v>
      </c>
      <c r="O16" s="130">
        <f t="shared" si="1"/>
        <v>227041.00000000003</v>
      </c>
    </row>
    <row r="17" spans="1:15" s="131" customFormat="1" ht="13.5" customHeight="1">
      <c r="A17" s="127">
        <v>16</v>
      </c>
      <c r="B17" s="128" t="s">
        <v>536</v>
      </c>
      <c r="C17" s="129"/>
      <c r="D17" s="129"/>
      <c r="E17" s="129"/>
      <c r="F17" s="129">
        <f>1Önk!G59/2</f>
        <v>32450</v>
      </c>
      <c r="G17" s="129"/>
      <c r="H17" s="129"/>
      <c r="I17" s="129"/>
      <c r="J17" s="129"/>
      <c r="K17" s="129">
        <f>F17</f>
        <v>32450</v>
      </c>
      <c r="L17" s="129"/>
      <c r="M17" s="129"/>
      <c r="N17" s="129"/>
      <c r="O17" s="130">
        <f t="shared" si="1"/>
        <v>64900</v>
      </c>
    </row>
    <row r="18" spans="1:15" s="131" customFormat="1" ht="13.5" customHeight="1">
      <c r="A18" s="127">
        <v>17</v>
      </c>
      <c r="B18" s="128" t="s">
        <v>537</v>
      </c>
      <c r="C18" s="129">
        <f>1Önk!G60/12</f>
        <v>4771.666666666667</v>
      </c>
      <c r="D18" s="129">
        <f>$C$18</f>
        <v>4771.666666666667</v>
      </c>
      <c r="E18" s="129">
        <f aca="true" t="shared" si="9" ref="E18:N18">$C$18</f>
        <v>4771.666666666667</v>
      </c>
      <c r="F18" s="129">
        <f t="shared" si="9"/>
        <v>4771.666666666667</v>
      </c>
      <c r="G18" s="129">
        <f t="shared" si="9"/>
        <v>4771.666666666667</v>
      </c>
      <c r="H18" s="129">
        <f t="shared" si="9"/>
        <v>4771.666666666667</v>
      </c>
      <c r="I18" s="129">
        <f t="shared" si="9"/>
        <v>4771.666666666667</v>
      </c>
      <c r="J18" s="129">
        <f t="shared" si="9"/>
        <v>4771.666666666667</v>
      </c>
      <c r="K18" s="129">
        <f t="shared" si="9"/>
        <v>4771.666666666667</v>
      </c>
      <c r="L18" s="129">
        <f t="shared" si="9"/>
        <v>4771.666666666667</v>
      </c>
      <c r="M18" s="129">
        <f t="shared" si="9"/>
        <v>4771.666666666667</v>
      </c>
      <c r="N18" s="129">
        <f t="shared" si="9"/>
        <v>4771.666666666667</v>
      </c>
      <c r="O18" s="130">
        <f t="shared" si="1"/>
        <v>57259.99999999999</v>
      </c>
    </row>
    <row r="19" spans="1:15" s="131" customFormat="1" ht="13.5" customHeight="1">
      <c r="A19" s="127">
        <v>18</v>
      </c>
      <c r="B19" s="128" t="s">
        <v>538</v>
      </c>
      <c r="C19" s="129">
        <f>1Önk!G63/12</f>
        <v>2040.6666666666667</v>
      </c>
      <c r="D19" s="129">
        <f>$C$19</f>
        <v>2040.6666666666667</v>
      </c>
      <c r="E19" s="129">
        <f aca="true" t="shared" si="10" ref="E19:N19">$C$19</f>
        <v>2040.6666666666667</v>
      </c>
      <c r="F19" s="129">
        <f t="shared" si="10"/>
        <v>2040.6666666666667</v>
      </c>
      <c r="G19" s="129">
        <f t="shared" si="10"/>
        <v>2040.6666666666667</v>
      </c>
      <c r="H19" s="129">
        <f t="shared" si="10"/>
        <v>2040.6666666666667</v>
      </c>
      <c r="I19" s="129">
        <f t="shared" si="10"/>
        <v>2040.6666666666667</v>
      </c>
      <c r="J19" s="129">
        <f t="shared" si="10"/>
        <v>2040.6666666666667</v>
      </c>
      <c r="K19" s="129">
        <f t="shared" si="10"/>
        <v>2040.6666666666667</v>
      </c>
      <c r="L19" s="129">
        <f t="shared" si="10"/>
        <v>2040.6666666666667</v>
      </c>
      <c r="M19" s="129">
        <f t="shared" si="10"/>
        <v>2040.6666666666667</v>
      </c>
      <c r="N19" s="129">
        <f t="shared" si="10"/>
        <v>2040.6666666666667</v>
      </c>
      <c r="O19" s="130">
        <f t="shared" si="1"/>
        <v>24488.000000000004</v>
      </c>
    </row>
    <row r="20" spans="1:15" s="131" customFormat="1" ht="13.5" customHeight="1">
      <c r="A20" s="127">
        <v>19</v>
      </c>
      <c r="B20" s="128" t="s">
        <v>93</v>
      </c>
      <c r="C20" s="129">
        <f>(1Önk!G65+1Önk!G66+1Önk!G67+1Önk!G68+1Önk!G69+1Önk!G70+1Önk!G71+1Önk!G72)/12</f>
        <v>10223.166666666666</v>
      </c>
      <c r="D20" s="129">
        <f>$C$20</f>
        <v>10223.166666666666</v>
      </c>
      <c r="E20" s="129">
        <f aca="true" t="shared" si="11" ref="E20:N20">$C$20</f>
        <v>10223.166666666666</v>
      </c>
      <c r="F20" s="129">
        <f t="shared" si="11"/>
        <v>10223.166666666666</v>
      </c>
      <c r="G20" s="129">
        <f t="shared" si="11"/>
        <v>10223.166666666666</v>
      </c>
      <c r="H20" s="129">
        <f t="shared" si="11"/>
        <v>10223.166666666666</v>
      </c>
      <c r="I20" s="129">
        <f t="shared" si="11"/>
        <v>10223.166666666666</v>
      </c>
      <c r="J20" s="129">
        <f t="shared" si="11"/>
        <v>10223.166666666666</v>
      </c>
      <c r="K20" s="129">
        <f t="shared" si="11"/>
        <v>10223.166666666666</v>
      </c>
      <c r="L20" s="129">
        <f t="shared" si="11"/>
        <v>10223.166666666666</v>
      </c>
      <c r="M20" s="129">
        <f t="shared" si="11"/>
        <v>10223.166666666666</v>
      </c>
      <c r="N20" s="129">
        <f t="shared" si="11"/>
        <v>10223.166666666666</v>
      </c>
      <c r="O20" s="130">
        <f t="shared" si="1"/>
        <v>122678.00000000001</v>
      </c>
    </row>
    <row r="21" spans="1:15" s="131" customFormat="1" ht="13.5" customHeight="1">
      <c r="A21" s="127">
        <v>20</v>
      </c>
      <c r="B21" s="128" t="s">
        <v>539</v>
      </c>
      <c r="C21" s="129"/>
      <c r="D21" s="129"/>
      <c r="E21" s="129">
        <v>8930</v>
      </c>
      <c r="F21" s="129">
        <v>900</v>
      </c>
      <c r="G21" s="129"/>
      <c r="H21" s="129">
        <v>8930</v>
      </c>
      <c r="I21" s="129"/>
      <c r="J21" s="129"/>
      <c r="K21" s="129">
        <v>9830</v>
      </c>
      <c r="L21" s="129"/>
      <c r="M21" s="129"/>
      <c r="N21" s="129">
        <v>8930</v>
      </c>
      <c r="O21" s="130">
        <f t="shared" si="1"/>
        <v>37520</v>
      </c>
    </row>
    <row r="22" spans="1:15" s="131" customFormat="1" ht="13.5" customHeight="1">
      <c r="A22" s="127">
        <v>21</v>
      </c>
      <c r="B22" s="128" t="s">
        <v>540</v>
      </c>
      <c r="C22" s="129"/>
      <c r="D22" s="129">
        <v>240</v>
      </c>
      <c r="E22" s="129"/>
      <c r="F22" s="129"/>
      <c r="G22" s="129">
        <f>(1Önk!G77+1Önk!G79-240)/2</f>
        <v>160542</v>
      </c>
      <c r="H22" s="129"/>
      <c r="I22" s="129"/>
      <c r="J22" s="129"/>
      <c r="K22" s="129">
        <f>G22</f>
        <v>160542</v>
      </c>
      <c r="L22" s="129"/>
      <c r="M22" s="129"/>
      <c r="N22" s="129"/>
      <c r="O22" s="130">
        <f t="shared" si="1"/>
        <v>321324</v>
      </c>
    </row>
    <row r="23" spans="1:15" s="131" customFormat="1" ht="13.5" customHeight="1">
      <c r="A23" s="127">
        <v>22</v>
      </c>
      <c r="B23" s="128" t="s">
        <v>84</v>
      </c>
      <c r="C23" s="129"/>
      <c r="D23" s="129"/>
      <c r="E23" s="129"/>
      <c r="F23" s="129"/>
      <c r="G23" s="129">
        <v>1350</v>
      </c>
      <c r="H23" s="129"/>
      <c r="I23" s="129"/>
      <c r="J23" s="129">
        <v>1000</v>
      </c>
      <c r="K23" s="129"/>
      <c r="L23" s="129"/>
      <c r="M23" s="129"/>
      <c r="N23" s="129"/>
      <c r="O23" s="130">
        <f t="shared" si="1"/>
        <v>2350</v>
      </c>
    </row>
    <row r="24" spans="1:15" s="131" customFormat="1" ht="13.5" customHeight="1">
      <c r="A24" s="127">
        <v>23</v>
      </c>
      <c r="B24" s="128" t="s">
        <v>541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>
        <v>9000</v>
      </c>
      <c r="M24" s="129"/>
      <c r="N24" s="129"/>
      <c r="O24" s="130">
        <f t="shared" si="1"/>
        <v>9000</v>
      </c>
    </row>
    <row r="25" spans="1:15" s="131" customFormat="1" ht="13.5" customHeight="1" thickBot="1">
      <c r="A25" s="778">
        <v>24</v>
      </c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>
        <f t="shared" si="1"/>
        <v>0</v>
      </c>
    </row>
    <row r="26" spans="1:15" s="122" customFormat="1" ht="15.75" customHeight="1" thickBot="1">
      <c r="A26" s="121">
        <v>25</v>
      </c>
      <c r="B26" s="55" t="s">
        <v>129</v>
      </c>
      <c r="C26" s="138">
        <f aca="true" t="shared" si="12" ref="C26:N26">SUM(C14:C25)</f>
        <v>87637.16666666669</v>
      </c>
      <c r="D26" s="138">
        <f t="shared" si="12"/>
        <v>87877.16666666669</v>
      </c>
      <c r="E26" s="138">
        <f t="shared" si="12"/>
        <v>96567.16666666669</v>
      </c>
      <c r="F26" s="138">
        <f t="shared" si="12"/>
        <v>120987.16666666669</v>
      </c>
      <c r="G26" s="138">
        <f t="shared" si="12"/>
        <v>249529.1666666667</v>
      </c>
      <c r="H26" s="138">
        <f t="shared" si="12"/>
        <v>96567.16666666669</v>
      </c>
      <c r="I26" s="138">
        <f t="shared" si="12"/>
        <v>87637.16666666669</v>
      </c>
      <c r="J26" s="138">
        <f t="shared" si="12"/>
        <v>88637.16666666669</v>
      </c>
      <c r="K26" s="138">
        <f t="shared" si="12"/>
        <v>290459.1666666667</v>
      </c>
      <c r="L26" s="138">
        <f t="shared" si="12"/>
        <v>96637.16666666669</v>
      </c>
      <c r="M26" s="138">
        <f t="shared" si="12"/>
        <v>87637.16666666669</v>
      </c>
      <c r="N26" s="138">
        <f t="shared" si="12"/>
        <v>96567.16666666669</v>
      </c>
      <c r="O26" s="139">
        <f t="shared" si="1"/>
        <v>1486740.0000000007</v>
      </c>
    </row>
    <row r="27" spans="1:15" ht="16.5" thickBot="1">
      <c r="A27" s="121">
        <v>26</v>
      </c>
      <c r="B27" s="56" t="s">
        <v>130</v>
      </c>
      <c r="C27" s="143">
        <f aca="true" t="shared" si="13" ref="C27:O27">C12-C26</f>
        <v>-11428.416666666686</v>
      </c>
      <c r="D27" s="143">
        <f t="shared" si="13"/>
        <v>-11668.416666666686</v>
      </c>
      <c r="E27" s="143">
        <f t="shared" si="13"/>
        <v>-20358.416666666686</v>
      </c>
      <c r="F27" s="143">
        <f t="shared" si="13"/>
        <v>-42778.416666666686</v>
      </c>
      <c r="G27" s="143">
        <f t="shared" si="13"/>
        <v>15869.583333333314</v>
      </c>
      <c r="H27" s="143">
        <f t="shared" si="13"/>
        <v>-20358.416666666686</v>
      </c>
      <c r="I27" s="143">
        <f t="shared" si="13"/>
        <v>-11428.416666666686</v>
      </c>
      <c r="J27" s="143">
        <f t="shared" si="13"/>
        <v>-1978.416666666686</v>
      </c>
      <c r="K27" s="143">
        <f t="shared" si="13"/>
        <v>-55060.416666666686</v>
      </c>
      <c r="L27" s="143">
        <f t="shared" si="13"/>
        <v>-20428.416666666686</v>
      </c>
      <c r="M27" s="143">
        <f t="shared" si="13"/>
        <v>4511.583333333314</v>
      </c>
      <c r="N27" s="143">
        <f t="shared" si="13"/>
        <v>-20358.416666666686</v>
      </c>
      <c r="O27" s="144">
        <f t="shared" si="13"/>
        <v>-195465.0000000007</v>
      </c>
    </row>
    <row r="28" ht="15.75">
      <c r="A28" s="146"/>
    </row>
    <row r="29" spans="2:4" ht="15.75">
      <c r="B29" s="147"/>
      <c r="C29" s="148"/>
      <c r="D29" s="148"/>
    </row>
  </sheetData>
  <sheetProtection sheet="1" objects="1" scenarios="1"/>
  <mergeCells count="2">
    <mergeCell ref="B2:O2"/>
    <mergeCell ref="B13:O13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2008. évre&amp;R&amp;"Times New Roman CE,Félkövér dőlt"&amp;11 15. sz. melléklet&amp;"Times New Roman CE,Normál"&amp;10
&amp;"Times New Roman CE,Félkövér dőlt"Ezer forintban !</oddHeader>
  </headerFooter>
  <ignoredErrors>
    <ignoredError sqref="A2" numberStoredAsText="1"/>
    <ignoredError sqref="C3:F6 H3:H6 L23 L3:L6 M23:N23 I3:J6 K3:K6 C23 D23 N3:O6 M3:M5 G3:G5 I23:J23 E23:F23 G23 H23 K23 I16:J21" unlockedFormula="1"/>
    <ignoredError sqref="K8 I9:J9 G8:H8 G9 H9 K9 I8:J8 I10:J10 C7:E7 C8:F9 G7 N7:O10 D16:D21 C16:C22 K7 I7:J7 L16:L21 M16:N22 K10 L7 H7 H10 M7:M10 G10 L9:L10 C14:N15 H16:H21 E22:F22 G16:G21 I22:J22 K16:K21 K22 G22:H22 E16:F21" formula="1" unlockedFormula="1"/>
    <ignoredError sqref="B8 B22 B14:B15 O14:O15 B11:O13 B9 B10:F10 B7 B16:B21 O22 O16:O21 D22 L22 F7 L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7.125" style="120" customWidth="1"/>
    <col min="2" max="2" width="27.125" style="145" customWidth="1"/>
    <col min="3" max="4" width="9.00390625" style="145" customWidth="1"/>
    <col min="5" max="5" width="9.50390625" style="145" customWidth="1"/>
    <col min="6" max="6" width="8.875" style="145" customWidth="1"/>
    <col min="7" max="7" width="8.625" style="145" customWidth="1"/>
    <col min="8" max="8" width="8.875" style="145" customWidth="1"/>
    <col min="9" max="9" width="8.125" style="145" customWidth="1"/>
    <col min="10" max="14" width="9.50390625" style="145" customWidth="1"/>
    <col min="15" max="15" width="12.625" style="120" customWidth="1"/>
    <col min="16" max="16384" width="9.375" style="145" customWidth="1"/>
  </cols>
  <sheetData>
    <row r="1" spans="1:15" s="120" customFormat="1" ht="39.75" customHeight="1" thickBot="1">
      <c r="A1" s="117" t="s">
        <v>1</v>
      </c>
      <c r="B1" s="118" t="s">
        <v>48</v>
      </c>
      <c r="C1" s="118" t="s">
        <v>62</v>
      </c>
      <c r="D1" s="118" t="s">
        <v>63</v>
      </c>
      <c r="E1" s="118" t="s">
        <v>64</v>
      </c>
      <c r="F1" s="118" t="s">
        <v>65</v>
      </c>
      <c r="G1" s="118" t="s">
        <v>66</v>
      </c>
      <c r="H1" s="118" t="s">
        <v>67</v>
      </c>
      <c r="I1" s="118" t="s">
        <v>68</v>
      </c>
      <c r="J1" s="118" t="s">
        <v>69</v>
      </c>
      <c r="K1" s="118" t="s">
        <v>70</v>
      </c>
      <c r="L1" s="118" t="s">
        <v>71</v>
      </c>
      <c r="M1" s="118" t="s">
        <v>72</v>
      </c>
      <c r="N1" s="118" t="s">
        <v>73</v>
      </c>
      <c r="O1" s="119" t="s">
        <v>36</v>
      </c>
    </row>
    <row r="2" spans="1:15" s="122" customFormat="1" ht="15" customHeight="1" thickBot="1">
      <c r="A2" s="121" t="s">
        <v>3</v>
      </c>
      <c r="B2" s="1029" t="s">
        <v>38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1"/>
    </row>
    <row r="3" spans="1:15" s="122" customFormat="1" ht="15" customHeight="1">
      <c r="A3" s="123" t="s">
        <v>4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>
        <f aca="true" t="shared" si="0" ref="O3:O8">SUM(C3:N3)</f>
        <v>0</v>
      </c>
    </row>
    <row r="4" spans="1:15" s="131" customFormat="1" ht="13.5" customHeight="1">
      <c r="A4" s="127" t="s">
        <v>5</v>
      </c>
      <c r="B4" s="128" t="s">
        <v>221</v>
      </c>
      <c r="C4" s="129">
        <v>2780</v>
      </c>
      <c r="D4" s="129">
        <v>2780</v>
      </c>
      <c r="E4" s="129">
        <v>2780</v>
      </c>
      <c r="F4" s="129">
        <v>2780</v>
      </c>
      <c r="G4" s="129">
        <v>3060</v>
      </c>
      <c r="H4" s="129">
        <v>1450</v>
      </c>
      <c r="I4" s="129">
        <v>70</v>
      </c>
      <c r="J4" s="129">
        <v>70</v>
      </c>
      <c r="K4" s="129">
        <v>120</v>
      </c>
      <c r="L4" s="129">
        <v>140</v>
      </c>
      <c r="M4" s="129">
        <v>420</v>
      </c>
      <c r="N4" s="129">
        <v>210</v>
      </c>
      <c r="O4" s="130">
        <f t="shared" si="0"/>
        <v>16660</v>
      </c>
    </row>
    <row r="5" spans="1:15" s="131" customFormat="1" ht="13.5" customHeight="1">
      <c r="A5" s="127" t="s">
        <v>6</v>
      </c>
      <c r="B5" s="132" t="s">
        <v>546</v>
      </c>
      <c r="C5" s="133">
        <v>28000</v>
      </c>
      <c r="D5" s="133">
        <v>22870</v>
      </c>
      <c r="E5" s="133">
        <v>25770</v>
      </c>
      <c r="F5" s="133">
        <v>23170</v>
      </c>
      <c r="G5" s="133">
        <v>24840</v>
      </c>
      <c r="H5" s="133">
        <v>23750</v>
      </c>
      <c r="I5" s="133">
        <v>23580</v>
      </c>
      <c r="J5" s="133">
        <v>25840</v>
      </c>
      <c r="K5" s="133">
        <v>24030</v>
      </c>
      <c r="L5" s="133">
        <v>24820</v>
      </c>
      <c r="M5" s="133">
        <v>25210</v>
      </c>
      <c r="N5" s="133">
        <v>31655</v>
      </c>
      <c r="O5" s="134">
        <f t="shared" si="0"/>
        <v>303535</v>
      </c>
    </row>
    <row r="6" spans="1:15" s="131" customFormat="1" ht="13.5" customHeight="1">
      <c r="A6" s="127" t="s">
        <v>7</v>
      </c>
      <c r="B6" s="128" t="s">
        <v>44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f t="shared" si="0"/>
        <v>0</v>
      </c>
    </row>
    <row r="7" spans="1:15" s="131" customFormat="1" ht="13.5" customHeight="1" thickBot="1">
      <c r="A7" s="127" t="s">
        <v>8</v>
      </c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>
        <f t="shared" si="0"/>
        <v>0</v>
      </c>
    </row>
    <row r="8" spans="1:15" s="122" customFormat="1" ht="15.75" customHeight="1" thickBot="1">
      <c r="A8" s="121">
        <v>7</v>
      </c>
      <c r="B8" s="55" t="s">
        <v>128</v>
      </c>
      <c r="C8" s="138">
        <f aca="true" t="shared" si="1" ref="C8:N8">SUM(C3:C7)</f>
        <v>30780</v>
      </c>
      <c r="D8" s="138">
        <f t="shared" si="1"/>
        <v>25650</v>
      </c>
      <c r="E8" s="138">
        <f t="shared" si="1"/>
        <v>28550</v>
      </c>
      <c r="F8" s="138">
        <f t="shared" si="1"/>
        <v>25950</v>
      </c>
      <c r="G8" s="138">
        <f t="shared" si="1"/>
        <v>27900</v>
      </c>
      <c r="H8" s="138">
        <f t="shared" si="1"/>
        <v>25200</v>
      </c>
      <c r="I8" s="138">
        <f t="shared" si="1"/>
        <v>23650</v>
      </c>
      <c r="J8" s="138">
        <f t="shared" si="1"/>
        <v>25910</v>
      </c>
      <c r="K8" s="138">
        <f t="shared" si="1"/>
        <v>24150</v>
      </c>
      <c r="L8" s="138">
        <f t="shared" si="1"/>
        <v>24960</v>
      </c>
      <c r="M8" s="138">
        <f t="shared" si="1"/>
        <v>25630</v>
      </c>
      <c r="N8" s="138">
        <f t="shared" si="1"/>
        <v>31865</v>
      </c>
      <c r="O8" s="139">
        <f t="shared" si="0"/>
        <v>320195</v>
      </c>
    </row>
    <row r="9" spans="1:15" s="122" customFormat="1" ht="15" customHeight="1" thickBot="1">
      <c r="A9" s="121">
        <v>8</v>
      </c>
      <c r="B9" s="1029" t="s">
        <v>40</v>
      </c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1"/>
    </row>
    <row r="10" spans="1:15" s="131" customFormat="1" ht="13.5" customHeight="1">
      <c r="A10" s="140">
        <v>9</v>
      </c>
      <c r="B10" s="132" t="s">
        <v>50</v>
      </c>
      <c r="C10" s="133">
        <v>18800</v>
      </c>
      <c r="D10" s="133">
        <v>14500</v>
      </c>
      <c r="E10" s="133">
        <v>16800</v>
      </c>
      <c r="F10" s="133">
        <v>15100</v>
      </c>
      <c r="G10" s="133">
        <v>16500</v>
      </c>
      <c r="H10" s="133">
        <v>14500</v>
      </c>
      <c r="I10" s="133">
        <v>15800</v>
      </c>
      <c r="J10" s="133">
        <v>14200</v>
      </c>
      <c r="K10" s="133">
        <v>14400</v>
      </c>
      <c r="L10" s="133">
        <v>15400</v>
      </c>
      <c r="M10" s="133">
        <v>17200</v>
      </c>
      <c r="N10" s="133">
        <v>22408</v>
      </c>
      <c r="O10" s="134">
        <f aca="true" t="shared" si="2" ref="O10:O17">SUM(C10:N10)</f>
        <v>195608</v>
      </c>
    </row>
    <row r="11" spans="1:15" s="131" customFormat="1" ht="13.5" customHeight="1">
      <c r="A11" s="127">
        <v>10</v>
      </c>
      <c r="B11" s="128" t="s">
        <v>74</v>
      </c>
      <c r="C11" s="129">
        <v>6400</v>
      </c>
      <c r="D11" s="129">
        <v>5000</v>
      </c>
      <c r="E11" s="129">
        <v>5500</v>
      </c>
      <c r="F11" s="129">
        <v>5000</v>
      </c>
      <c r="G11" s="129">
        <v>5000</v>
      </c>
      <c r="H11" s="129">
        <v>5000</v>
      </c>
      <c r="I11" s="129">
        <v>5500</v>
      </c>
      <c r="J11" s="129">
        <v>5000</v>
      </c>
      <c r="K11" s="129">
        <v>5000</v>
      </c>
      <c r="L11" s="129">
        <v>5400</v>
      </c>
      <c r="M11" s="129">
        <v>5450</v>
      </c>
      <c r="N11" s="129">
        <v>6237</v>
      </c>
      <c r="O11" s="130">
        <f t="shared" si="2"/>
        <v>64487</v>
      </c>
    </row>
    <row r="12" spans="1:15" s="131" customFormat="1" ht="13.5" customHeight="1">
      <c r="A12" s="127">
        <v>11</v>
      </c>
      <c r="B12" s="128" t="s">
        <v>41</v>
      </c>
      <c r="C12" s="129">
        <v>5580</v>
      </c>
      <c r="D12" s="129">
        <v>6150</v>
      </c>
      <c r="E12" s="129">
        <v>6250</v>
      </c>
      <c r="F12" s="129">
        <v>5850</v>
      </c>
      <c r="G12" s="129">
        <v>6400</v>
      </c>
      <c r="H12" s="129">
        <v>5200</v>
      </c>
      <c r="I12" s="129">
        <v>2350</v>
      </c>
      <c r="J12" s="129">
        <v>2050</v>
      </c>
      <c r="K12" s="129">
        <v>4750</v>
      </c>
      <c r="L12" s="129">
        <v>3660</v>
      </c>
      <c r="M12" s="129">
        <v>2980</v>
      </c>
      <c r="N12" s="129">
        <v>3220</v>
      </c>
      <c r="O12" s="130">
        <f t="shared" si="2"/>
        <v>54440</v>
      </c>
    </row>
    <row r="13" spans="1:15" s="131" customFormat="1" ht="13.5" customHeight="1">
      <c r="A13" s="127">
        <v>12</v>
      </c>
      <c r="B13" s="128" t="s">
        <v>84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2"/>
        <v>0</v>
      </c>
    </row>
    <row r="14" spans="1:15" s="131" customFormat="1" ht="13.5" customHeight="1">
      <c r="A14" s="127">
        <v>13</v>
      </c>
      <c r="B14" s="128" t="s">
        <v>540</v>
      </c>
      <c r="C14" s="129"/>
      <c r="D14" s="129"/>
      <c r="E14" s="129"/>
      <c r="F14" s="129"/>
      <c r="G14" s="129"/>
      <c r="H14" s="129">
        <v>500</v>
      </c>
      <c r="I14" s="129"/>
      <c r="J14" s="129"/>
      <c r="K14" s="129"/>
      <c r="L14" s="129">
        <v>500</v>
      </c>
      <c r="M14" s="129"/>
      <c r="N14" s="129"/>
      <c r="O14" s="130">
        <f t="shared" si="2"/>
        <v>1000</v>
      </c>
    </row>
    <row r="15" spans="1:15" s="131" customFormat="1" ht="13.5" customHeight="1">
      <c r="A15" s="127">
        <v>14</v>
      </c>
      <c r="B15" s="128" t="s">
        <v>547</v>
      </c>
      <c r="C15" s="129"/>
      <c r="D15" s="129"/>
      <c r="E15" s="129"/>
      <c r="F15" s="129"/>
      <c r="G15" s="129"/>
      <c r="H15" s="129"/>
      <c r="I15" s="129"/>
      <c r="J15" s="129">
        <v>4660</v>
      </c>
      <c r="K15" s="129"/>
      <c r="L15" s="129"/>
      <c r="M15" s="129"/>
      <c r="N15" s="129"/>
      <c r="O15" s="130">
        <f t="shared" si="2"/>
        <v>4660</v>
      </c>
    </row>
    <row r="16" spans="1:15" s="131" customFormat="1" ht="13.5" customHeight="1" thickBot="1">
      <c r="A16" s="127">
        <v>15</v>
      </c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f t="shared" si="2"/>
        <v>0</v>
      </c>
    </row>
    <row r="17" spans="1:15" s="122" customFormat="1" ht="15.75" customHeight="1" thickBot="1">
      <c r="A17" s="141">
        <v>16</v>
      </c>
      <c r="B17" s="55" t="s">
        <v>129</v>
      </c>
      <c r="C17" s="138">
        <f aca="true" t="shared" si="3" ref="C17:N17">SUM(C10:C16)</f>
        <v>30780</v>
      </c>
      <c r="D17" s="138">
        <f t="shared" si="3"/>
        <v>25650</v>
      </c>
      <c r="E17" s="138">
        <f t="shared" si="3"/>
        <v>28550</v>
      </c>
      <c r="F17" s="138">
        <f t="shared" si="3"/>
        <v>25950</v>
      </c>
      <c r="G17" s="138">
        <f t="shared" si="3"/>
        <v>27900</v>
      </c>
      <c r="H17" s="138">
        <f t="shared" si="3"/>
        <v>25200</v>
      </c>
      <c r="I17" s="138">
        <f t="shared" si="3"/>
        <v>23650</v>
      </c>
      <c r="J17" s="138">
        <f t="shared" si="3"/>
        <v>25910</v>
      </c>
      <c r="K17" s="138">
        <f t="shared" si="3"/>
        <v>24150</v>
      </c>
      <c r="L17" s="138">
        <f t="shared" si="3"/>
        <v>24960</v>
      </c>
      <c r="M17" s="138">
        <f t="shared" si="3"/>
        <v>25630</v>
      </c>
      <c r="N17" s="138">
        <f t="shared" si="3"/>
        <v>31865</v>
      </c>
      <c r="O17" s="139">
        <f t="shared" si="2"/>
        <v>320195</v>
      </c>
    </row>
    <row r="18" spans="1:15" ht="16.5" thickBot="1">
      <c r="A18" s="142">
        <v>17</v>
      </c>
      <c r="B18" s="56" t="s">
        <v>130</v>
      </c>
      <c r="C18" s="143">
        <f aca="true" t="shared" si="4" ref="C18:O18">C8-C17</f>
        <v>0</v>
      </c>
      <c r="D18" s="143">
        <f t="shared" si="4"/>
        <v>0</v>
      </c>
      <c r="E18" s="143">
        <f t="shared" si="4"/>
        <v>0</v>
      </c>
      <c r="F18" s="143">
        <f t="shared" si="4"/>
        <v>0</v>
      </c>
      <c r="G18" s="143">
        <f t="shared" si="4"/>
        <v>0</v>
      </c>
      <c r="H18" s="143">
        <f t="shared" si="4"/>
        <v>0</v>
      </c>
      <c r="I18" s="143">
        <f t="shared" si="4"/>
        <v>0</v>
      </c>
      <c r="J18" s="143">
        <f t="shared" si="4"/>
        <v>0</v>
      </c>
      <c r="K18" s="143">
        <f t="shared" si="4"/>
        <v>0</v>
      </c>
      <c r="L18" s="143">
        <f t="shared" si="4"/>
        <v>0</v>
      </c>
      <c r="M18" s="143">
        <f t="shared" si="4"/>
        <v>0</v>
      </c>
      <c r="N18" s="143">
        <f t="shared" si="4"/>
        <v>0</v>
      </c>
      <c r="O18" s="144">
        <f t="shared" si="4"/>
        <v>0</v>
      </c>
    </row>
    <row r="19" ht="15.75">
      <c r="A19" s="146"/>
    </row>
    <row r="20" ht="15.75">
      <c r="B20" s="148"/>
    </row>
  </sheetData>
  <sheetProtection sheet="1" objects="1" scenarios="1"/>
  <mergeCells count="2">
    <mergeCell ref="B2:O2"/>
    <mergeCell ref="B9:O9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(Halászy Károly Általános Iskola) &amp;R&amp;"Times New Roman CE,Félkövér dőlt"&amp;11 16. sz. melléklet&amp;"Times New Roman CE,Normál"&amp;10
&amp;"Times New Roman CE,Félkövér dőlt"Ezer forintban !</oddHeader>
  </headerFooter>
  <ignoredErrors>
    <ignoredError sqref="A2:A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7.50390625" style="120" customWidth="1"/>
    <col min="2" max="2" width="34.50390625" style="145" customWidth="1"/>
    <col min="3" max="7" width="8.875" style="145" customWidth="1"/>
    <col min="8" max="8" width="8.625" style="145" customWidth="1"/>
    <col min="9" max="11" width="8.875" style="145" customWidth="1"/>
    <col min="12" max="13" width="7.875" style="145" customWidth="1"/>
    <col min="14" max="14" width="7.375" style="145" customWidth="1"/>
    <col min="15" max="15" width="11.375" style="120" customWidth="1"/>
    <col min="16" max="16384" width="9.375" style="145" customWidth="1"/>
  </cols>
  <sheetData>
    <row r="1" spans="1:15" s="120" customFormat="1" ht="30" customHeight="1" thickBot="1">
      <c r="A1" s="149" t="s">
        <v>1</v>
      </c>
      <c r="B1" s="150" t="s">
        <v>75</v>
      </c>
      <c r="C1" s="151" t="s">
        <v>62</v>
      </c>
      <c r="D1" s="152" t="s">
        <v>63</v>
      </c>
      <c r="E1" s="152" t="s">
        <v>64</v>
      </c>
      <c r="F1" s="152" t="s">
        <v>65</v>
      </c>
      <c r="G1" s="152" t="s">
        <v>66</v>
      </c>
      <c r="H1" s="152" t="s">
        <v>67</v>
      </c>
      <c r="I1" s="152" t="s">
        <v>68</v>
      </c>
      <c r="J1" s="152" t="s">
        <v>69</v>
      </c>
      <c r="K1" s="152" t="s">
        <v>70</v>
      </c>
      <c r="L1" s="152" t="s">
        <v>71</v>
      </c>
      <c r="M1" s="152" t="s">
        <v>72</v>
      </c>
      <c r="N1" s="153" t="s">
        <v>73</v>
      </c>
      <c r="O1" s="154" t="s">
        <v>36</v>
      </c>
    </row>
    <row r="2" spans="1:15" s="120" customFormat="1" ht="15.75">
      <c r="A2" s="890" t="s">
        <v>3</v>
      </c>
      <c r="B2" s="166" t="s">
        <v>200</v>
      </c>
      <c r="C2" s="167">
        <f>'16.ütemterv'!C$5</f>
        <v>28000</v>
      </c>
      <c r="D2" s="167">
        <f>'16.ütemterv'!D$5</f>
        <v>22870</v>
      </c>
      <c r="E2" s="167">
        <f>'16.ütemterv'!E$5</f>
        <v>25770</v>
      </c>
      <c r="F2" s="167">
        <f>'16.ütemterv'!F$5</f>
        <v>23170</v>
      </c>
      <c r="G2" s="167">
        <f>'16.ütemterv'!G$5</f>
        <v>24840</v>
      </c>
      <c r="H2" s="167">
        <f>'16.ütemterv'!H$5</f>
        <v>23750</v>
      </c>
      <c r="I2" s="167">
        <f>'16.ütemterv'!I$5</f>
        <v>23580</v>
      </c>
      <c r="J2" s="167">
        <f>'16.ütemterv'!J$5</f>
        <v>25840</v>
      </c>
      <c r="K2" s="167">
        <f>'16.ütemterv'!K$5</f>
        <v>24030</v>
      </c>
      <c r="L2" s="167">
        <f>'16.ütemterv'!L$5</f>
        <v>24820</v>
      </c>
      <c r="M2" s="167">
        <f>'16.ütemterv'!M$5</f>
        <v>25210</v>
      </c>
      <c r="N2" s="167">
        <f>'16.ütemterv'!N$5</f>
        <v>31655</v>
      </c>
      <c r="O2" s="168">
        <f aca="true" t="shared" si="0" ref="O2:O8">SUM(C2:N2)</f>
        <v>303535</v>
      </c>
    </row>
    <row r="3" spans="1:15" ht="29.25" customHeight="1">
      <c r="A3" s="891" t="s">
        <v>4</v>
      </c>
      <c r="B3" s="203" t="s">
        <v>201</v>
      </c>
      <c r="C3" s="170">
        <v>13000</v>
      </c>
      <c r="D3" s="129">
        <v>13000</v>
      </c>
      <c r="E3" s="129">
        <v>12000</v>
      </c>
      <c r="F3" s="129">
        <v>13000</v>
      </c>
      <c r="G3" s="129">
        <v>13000</v>
      </c>
      <c r="H3" s="129">
        <v>13944</v>
      </c>
      <c r="I3" s="129">
        <v>13000</v>
      </c>
      <c r="J3" s="129">
        <v>13000</v>
      </c>
      <c r="K3" s="129">
        <v>13000</v>
      </c>
      <c r="L3" s="129">
        <v>14500</v>
      </c>
      <c r="M3" s="129">
        <v>13000</v>
      </c>
      <c r="N3" s="171">
        <v>13000</v>
      </c>
      <c r="O3" s="172">
        <f t="shared" si="0"/>
        <v>157444</v>
      </c>
    </row>
    <row r="4" spans="1:15" ht="15.75">
      <c r="A4" s="891" t="s">
        <v>5</v>
      </c>
      <c r="B4" s="169" t="s">
        <v>202</v>
      </c>
      <c r="C4" s="170">
        <v>870</v>
      </c>
      <c r="D4" s="129">
        <v>850</v>
      </c>
      <c r="E4" s="129">
        <v>841</v>
      </c>
      <c r="F4" s="129">
        <v>870</v>
      </c>
      <c r="G4" s="129">
        <v>870</v>
      </c>
      <c r="H4" s="129">
        <v>1770</v>
      </c>
      <c r="I4" s="129">
        <v>870</v>
      </c>
      <c r="J4" s="129">
        <v>870</v>
      </c>
      <c r="K4" s="129">
        <v>870</v>
      </c>
      <c r="L4" s="129">
        <v>1257</v>
      </c>
      <c r="M4" s="129">
        <v>870</v>
      </c>
      <c r="N4" s="171">
        <v>870</v>
      </c>
      <c r="O4" s="172">
        <f t="shared" si="0"/>
        <v>11678</v>
      </c>
    </row>
    <row r="5" spans="1:15" ht="15.75">
      <c r="A5" s="891" t="s">
        <v>6</v>
      </c>
      <c r="B5" s="169" t="s">
        <v>203</v>
      </c>
      <c r="C5" s="170">
        <v>1900</v>
      </c>
      <c r="D5" s="129">
        <v>1880</v>
      </c>
      <c r="E5" s="129">
        <v>1700</v>
      </c>
      <c r="F5" s="129">
        <v>1920</v>
      </c>
      <c r="G5" s="129">
        <v>2200</v>
      </c>
      <c r="H5" s="129">
        <v>1920</v>
      </c>
      <c r="I5" s="129">
        <v>1920</v>
      </c>
      <c r="J5" s="129">
        <v>1820</v>
      </c>
      <c r="K5" s="129">
        <v>1700</v>
      </c>
      <c r="L5" s="129">
        <v>2200</v>
      </c>
      <c r="M5" s="129">
        <v>1920</v>
      </c>
      <c r="N5" s="171">
        <v>1920</v>
      </c>
      <c r="O5" s="172">
        <f t="shared" si="0"/>
        <v>23000</v>
      </c>
    </row>
    <row r="6" spans="1:15" ht="15.75">
      <c r="A6" s="890" t="s">
        <v>7</v>
      </c>
      <c r="B6" s="169" t="s">
        <v>204</v>
      </c>
      <c r="C6" s="170">
        <v>2000</v>
      </c>
      <c r="D6" s="129">
        <v>2000</v>
      </c>
      <c r="E6" s="129">
        <v>4000</v>
      </c>
      <c r="F6" s="129">
        <v>5000</v>
      </c>
      <c r="G6" s="129">
        <v>6000</v>
      </c>
      <c r="H6" s="129">
        <v>9000</v>
      </c>
      <c r="I6" s="129">
        <v>9000</v>
      </c>
      <c r="J6" s="129">
        <v>8000</v>
      </c>
      <c r="K6" s="129">
        <v>10000</v>
      </c>
      <c r="L6" s="129">
        <v>10000</v>
      </c>
      <c r="M6" s="129">
        <v>10000</v>
      </c>
      <c r="N6" s="171">
        <v>748</v>
      </c>
      <c r="O6" s="172">
        <f t="shared" si="0"/>
        <v>75748</v>
      </c>
    </row>
    <row r="7" spans="1:15" ht="16.5" thickBot="1">
      <c r="A7" s="891"/>
      <c r="B7" s="173"/>
      <c r="C7" s="174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75"/>
      <c r="O7" s="176">
        <f t="shared" si="0"/>
        <v>0</v>
      </c>
    </row>
    <row r="8" spans="1:15" s="120" customFormat="1" ht="16.5" thickBot="1">
      <c r="A8" s="892" t="s">
        <v>9</v>
      </c>
      <c r="B8" s="177" t="s">
        <v>36</v>
      </c>
      <c r="C8" s="178">
        <f aca="true" t="shared" si="1" ref="C8:N8">SUM(C2:C7)</f>
        <v>45770</v>
      </c>
      <c r="D8" s="138">
        <f t="shared" si="1"/>
        <v>40600</v>
      </c>
      <c r="E8" s="138">
        <f t="shared" si="1"/>
        <v>44311</v>
      </c>
      <c r="F8" s="138">
        <f t="shared" si="1"/>
        <v>43960</v>
      </c>
      <c r="G8" s="138">
        <f t="shared" si="1"/>
        <v>46910</v>
      </c>
      <c r="H8" s="138">
        <f t="shared" si="1"/>
        <v>50384</v>
      </c>
      <c r="I8" s="138">
        <f t="shared" si="1"/>
        <v>48370</v>
      </c>
      <c r="J8" s="138">
        <f t="shared" si="1"/>
        <v>49530</v>
      </c>
      <c r="K8" s="138">
        <f t="shared" si="1"/>
        <v>49600</v>
      </c>
      <c r="L8" s="138">
        <f t="shared" si="1"/>
        <v>52777</v>
      </c>
      <c r="M8" s="138">
        <f t="shared" si="1"/>
        <v>51000</v>
      </c>
      <c r="N8" s="179">
        <f t="shared" si="1"/>
        <v>48193</v>
      </c>
      <c r="O8" s="180">
        <f t="shared" si="0"/>
        <v>571405</v>
      </c>
    </row>
    <row r="9" spans="1:15" ht="15.75">
      <c r="A9" s="146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46"/>
    </row>
    <row r="10" ht="15.75">
      <c r="A10" s="146"/>
    </row>
  </sheetData>
  <sheetProtection sheet="1"/>
  <printOptions horizontalCentered="1"/>
  <pageMargins left="0.5905511811023623" right="0.5905511811023623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2008. évre&amp;R&amp;"Times New Roman CE,Félkövér dőlt"&amp;12 &amp;11 17. sz. melléklet&amp;"Times New Roman CE,Normál"&amp;10
&amp;"Times New Roman CE,Félkövér dőlt"Ezer forintban !</oddHeader>
  </headerFooter>
  <ignoredErrors>
    <ignoredError sqref="C2:N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C2">
      <selection activeCell="N11" sqref="N11"/>
    </sheetView>
  </sheetViews>
  <sheetFormatPr defaultColWidth="9.00390625" defaultRowHeight="12.75"/>
  <cols>
    <col min="1" max="1" width="29.375" style="78" customWidth="1"/>
    <col min="2" max="2" width="9.875" style="77" customWidth="1"/>
    <col min="3" max="3" width="11.00390625" style="77" customWidth="1"/>
    <col min="4" max="5" width="10.375" style="77" customWidth="1"/>
    <col min="6" max="6" width="9.875" style="77" customWidth="1"/>
    <col min="7" max="7" width="33.375" style="77" customWidth="1"/>
    <col min="8" max="8" width="9.50390625" style="77" customWidth="1"/>
    <col min="9" max="9" width="11.125" style="77" customWidth="1"/>
    <col min="10" max="10" width="10.00390625" style="77" customWidth="1"/>
    <col min="11" max="11" width="10.125" style="77" customWidth="1"/>
    <col min="12" max="12" width="9.50390625" style="77" customWidth="1"/>
    <col min="13" max="16384" width="9.375" style="77" customWidth="1"/>
  </cols>
  <sheetData>
    <row r="1" spans="1:12" ht="39.75" customHeight="1">
      <c r="A1" s="75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4.25" thickBot="1">
      <c r="L2" s="79" t="s">
        <v>47</v>
      </c>
    </row>
    <row r="3" spans="1:12" ht="24" customHeight="1" thickBot="1">
      <c r="A3" s="80" t="s">
        <v>38</v>
      </c>
      <c r="B3" s="81"/>
      <c r="C3" s="81"/>
      <c r="D3" s="81"/>
      <c r="E3" s="81"/>
      <c r="F3" s="81"/>
      <c r="G3" s="80" t="s">
        <v>40</v>
      </c>
      <c r="H3" s="227"/>
      <c r="I3" s="227"/>
      <c r="J3" s="81"/>
      <c r="K3" s="81"/>
      <c r="L3" s="82"/>
    </row>
    <row r="4" spans="1:12" s="85" customFormat="1" ht="35.25" customHeight="1" thickBot="1">
      <c r="A4" s="83" t="s">
        <v>48</v>
      </c>
      <c r="B4" s="43" t="s">
        <v>151</v>
      </c>
      <c r="C4" s="43" t="s">
        <v>136</v>
      </c>
      <c r="D4" s="62" t="s">
        <v>356</v>
      </c>
      <c r="E4" s="43" t="s">
        <v>329</v>
      </c>
      <c r="F4" s="62" t="s">
        <v>355</v>
      </c>
      <c r="G4" s="83" t="s">
        <v>48</v>
      </c>
      <c r="H4" s="43" t="s">
        <v>151</v>
      </c>
      <c r="I4" s="43" t="s">
        <v>136</v>
      </c>
      <c r="J4" s="62" t="s">
        <v>357</v>
      </c>
      <c r="K4" s="43" t="s">
        <v>329</v>
      </c>
      <c r="L4" s="62" t="s">
        <v>355</v>
      </c>
    </row>
    <row r="5" spans="1:12" ht="15.75" customHeight="1">
      <c r="A5" s="183" t="s">
        <v>49</v>
      </c>
      <c r="B5" s="542">
        <f>1Önk!C6</f>
        <v>93201</v>
      </c>
      <c r="C5" s="542">
        <f>1Önk!D6</f>
        <v>96844</v>
      </c>
      <c r="D5" s="542">
        <f>1Önk!E6</f>
        <v>96845</v>
      </c>
      <c r="E5" s="542">
        <f>1Önk!F6</f>
        <v>76359</v>
      </c>
      <c r="F5" s="562">
        <f>1Önk!G6</f>
        <v>59443</v>
      </c>
      <c r="G5" s="557" t="s">
        <v>31</v>
      </c>
      <c r="H5" s="545">
        <f>1Önk!C53</f>
        <v>425949</v>
      </c>
      <c r="I5" s="545">
        <f>1Önk!D53</f>
        <v>442793</v>
      </c>
      <c r="J5" s="545">
        <f>1Önk!E53</f>
        <v>448044</v>
      </c>
      <c r="K5" s="545">
        <f>1Önk!F53</f>
        <v>398695</v>
      </c>
      <c r="L5" s="564">
        <f>1Önk!G53</f>
        <v>442266</v>
      </c>
    </row>
    <row r="6" spans="1:12" ht="27.75" customHeight="1">
      <c r="A6" s="87" t="s">
        <v>550</v>
      </c>
      <c r="B6" s="542">
        <f>1Önk!C7</f>
        <v>562617</v>
      </c>
      <c r="C6" s="542">
        <f>1Önk!D7</f>
        <v>624606</v>
      </c>
      <c r="D6" s="542">
        <f>1Önk!E7</f>
        <v>635087</v>
      </c>
      <c r="E6" s="542">
        <f>1Önk!F7</f>
        <v>469397</v>
      </c>
      <c r="F6" s="563">
        <f>1Önk!G7</f>
        <v>501572</v>
      </c>
      <c r="G6" s="558" t="s">
        <v>172</v>
      </c>
      <c r="H6" s="545">
        <f>1Önk!C54</f>
        <v>48393</v>
      </c>
      <c r="I6" s="545">
        <f>1Önk!D54</f>
        <v>15630</v>
      </c>
      <c r="J6" s="545">
        <f>1Önk!E54</f>
        <v>15630</v>
      </c>
      <c r="K6" s="545">
        <f>1Önk!F54</f>
        <v>20981</v>
      </c>
      <c r="L6" s="564">
        <f>1Önk!G54</f>
        <v>23980</v>
      </c>
    </row>
    <row r="7" spans="1:12" ht="15.75" customHeight="1">
      <c r="A7" s="87" t="s">
        <v>86</v>
      </c>
      <c r="B7" s="542">
        <f>1Önk!C14</f>
        <v>358721</v>
      </c>
      <c r="C7" s="542">
        <f>1Önk!D14</f>
        <v>262504</v>
      </c>
      <c r="D7" s="542">
        <f>1Önk!E14</f>
        <v>283442</v>
      </c>
      <c r="E7" s="542">
        <f>1Önk!F14</f>
        <v>234663</v>
      </c>
      <c r="F7" s="563">
        <f>1Önk!G14</f>
        <v>329166</v>
      </c>
      <c r="G7" s="18" t="s">
        <v>32</v>
      </c>
      <c r="H7" s="545">
        <f>1Önk!C55</f>
        <v>160470</v>
      </c>
      <c r="I7" s="545">
        <f>1Önk!D55</f>
        <v>155685</v>
      </c>
      <c r="J7" s="545">
        <f>1Önk!E55</f>
        <v>157612</v>
      </c>
      <c r="K7" s="545">
        <f>1Önk!F55</f>
        <v>135467</v>
      </c>
      <c r="L7" s="564">
        <f>1Önk!G55</f>
        <v>153933</v>
      </c>
    </row>
    <row r="8" spans="1:12" ht="15.75" customHeight="1">
      <c r="A8" s="87" t="s">
        <v>551</v>
      </c>
      <c r="B8" s="543">
        <f>1Önk!C26+1Önk!C27+1Önk!C28+1Önk!C29+1Önk!C30</f>
        <v>33064</v>
      </c>
      <c r="C8" s="543">
        <f>1Önk!D26+1Önk!D27+1Önk!D28+1Önk!D29+1Önk!D30</f>
        <v>33092</v>
      </c>
      <c r="D8" s="543">
        <f>1Önk!E26+1Önk!E27+1Önk!E28+1Önk!E29+1Önk!E30</f>
        <v>38302</v>
      </c>
      <c r="E8" s="543">
        <f>1Önk!F26+1Önk!F27+1Önk!F28+1Önk!F29+1Önk!F30</f>
        <v>26434</v>
      </c>
      <c r="F8" s="98">
        <f>1Önk!G26+1Önk!G27+1Önk!G28+1Önk!G29+1Önk!G30</f>
        <v>34324</v>
      </c>
      <c r="G8" s="18" t="s">
        <v>173</v>
      </c>
      <c r="H8" s="545">
        <f>1Önk!C56</f>
        <v>59354</v>
      </c>
      <c r="I8" s="545">
        <f>1Önk!D56</f>
        <v>72001</v>
      </c>
      <c r="J8" s="545">
        <f>1Önk!E56</f>
        <v>73797</v>
      </c>
      <c r="K8" s="545">
        <f>1Önk!F56</f>
        <v>52870</v>
      </c>
      <c r="L8" s="564">
        <f>1Önk!G56</f>
        <v>51960</v>
      </c>
    </row>
    <row r="9" spans="1:12" ht="15.75" customHeight="1">
      <c r="A9" s="87" t="s">
        <v>213</v>
      </c>
      <c r="B9" s="543">
        <f>1Önk!C36+1Önk!C33</f>
        <v>9665</v>
      </c>
      <c r="C9" s="543">
        <f>1Önk!D36+1Önk!D33</f>
        <v>0</v>
      </c>
      <c r="D9" s="543">
        <f>1Önk!E36+1Önk!E33</f>
        <v>0</v>
      </c>
      <c r="E9" s="543">
        <f>1Önk!F36+1Önk!F33</f>
        <v>6177</v>
      </c>
      <c r="F9" s="98">
        <f>1Önk!G36+1Önk!G33</f>
        <v>0</v>
      </c>
      <c r="G9" s="18" t="s">
        <v>174</v>
      </c>
      <c r="H9" s="545">
        <f>1Önk!C57</f>
        <v>115585</v>
      </c>
      <c r="I9" s="545">
        <f>1Önk!D57</f>
        <v>129481</v>
      </c>
      <c r="J9" s="545">
        <f>1Önk!E57</f>
        <v>129481</v>
      </c>
      <c r="K9" s="545">
        <f>1Önk!F57</f>
        <v>91588</v>
      </c>
      <c r="L9" s="564">
        <f>1Önk!G57</f>
        <v>109662</v>
      </c>
    </row>
    <row r="10" spans="1:12" ht="15.75" customHeight="1">
      <c r="A10" s="87" t="s">
        <v>215</v>
      </c>
      <c r="B10" s="543">
        <f>1Önk!C39</f>
        <v>0</v>
      </c>
      <c r="C10" s="543">
        <f>1Önk!D39</f>
        <v>16500</v>
      </c>
      <c r="D10" s="543">
        <f>1Önk!E39</f>
        <v>16500</v>
      </c>
      <c r="E10" s="543">
        <f>1Önk!F39</f>
        <v>16500</v>
      </c>
      <c r="F10" s="98">
        <f>1Önk!G39</f>
        <v>0</v>
      </c>
      <c r="G10" s="18" t="s">
        <v>175</v>
      </c>
      <c r="H10" s="545">
        <f>1Önk!C58</f>
        <v>58290</v>
      </c>
      <c r="I10" s="545">
        <f>1Önk!D58</f>
        <v>63412</v>
      </c>
      <c r="J10" s="545">
        <f>1Önk!E58</f>
        <v>63501</v>
      </c>
      <c r="K10" s="545">
        <f>1Önk!F58</f>
        <v>57151</v>
      </c>
      <c r="L10" s="564">
        <f>1Önk!G58</f>
        <v>65419</v>
      </c>
    </row>
    <row r="11" spans="1:12" ht="15.75" customHeight="1">
      <c r="A11" s="87" t="s">
        <v>216</v>
      </c>
      <c r="B11" s="543">
        <f>1Önk!C43</f>
        <v>30786</v>
      </c>
      <c r="C11" s="543">
        <f>1Önk!D43</f>
        <v>242292</v>
      </c>
      <c r="D11" s="543">
        <f>1Önk!E43</f>
        <v>242292</v>
      </c>
      <c r="E11" s="543">
        <f>1Önk!F43</f>
        <v>0</v>
      </c>
      <c r="F11" s="98">
        <f>1Önk!G43</f>
        <v>195465</v>
      </c>
      <c r="G11" s="18" t="s">
        <v>91</v>
      </c>
      <c r="H11" s="545">
        <f>1Önk!C59</f>
        <v>26870</v>
      </c>
      <c r="I11" s="545">
        <f>1Önk!D59</f>
        <v>36582</v>
      </c>
      <c r="J11" s="545">
        <f>1Önk!E59</f>
        <v>36582</v>
      </c>
      <c r="K11" s="545">
        <f>1Önk!F59</f>
        <v>58838</v>
      </c>
      <c r="L11" s="564">
        <f>1Önk!G59</f>
        <v>64900</v>
      </c>
    </row>
    <row r="12" spans="1:12" ht="24.75" customHeight="1">
      <c r="A12" s="87" t="s">
        <v>307</v>
      </c>
      <c r="B12" s="543">
        <f>1Önk!C42</f>
        <v>6042</v>
      </c>
      <c r="C12" s="543">
        <f>1Önk!D42</f>
        <v>0</v>
      </c>
      <c r="D12" s="543">
        <f>1Önk!E42</f>
        <v>0</v>
      </c>
      <c r="E12" s="543">
        <f>1Önk!F42</f>
        <v>619</v>
      </c>
      <c r="F12" s="98">
        <f>1Önk!G42</f>
        <v>0</v>
      </c>
      <c r="G12" s="18" t="s">
        <v>85</v>
      </c>
      <c r="H12" s="546">
        <f>1Önk!C60</f>
        <v>79079</v>
      </c>
      <c r="I12" s="546">
        <f>1Önk!D60</f>
        <v>66002</v>
      </c>
      <c r="J12" s="546">
        <f>1Önk!E60</f>
        <v>82166</v>
      </c>
      <c r="K12" s="546">
        <f>1Önk!F60</f>
        <v>61421</v>
      </c>
      <c r="L12" s="565">
        <f>1Önk!G60</f>
        <v>57260</v>
      </c>
    </row>
    <row r="13" spans="1:12" ht="22.5" customHeight="1">
      <c r="A13" s="87" t="s">
        <v>178</v>
      </c>
      <c r="B13" s="543">
        <f>1Önk!C44</f>
        <v>-5875</v>
      </c>
      <c r="C13" s="543">
        <f>1Önk!D44</f>
        <v>0</v>
      </c>
      <c r="D13" s="543">
        <f>1Önk!E44</f>
        <v>0</v>
      </c>
      <c r="E13" s="543">
        <f>1Önk!F44</f>
        <v>56642</v>
      </c>
      <c r="F13" s="98">
        <f>1Önk!G44</f>
        <v>0</v>
      </c>
      <c r="G13" s="559" t="s">
        <v>182</v>
      </c>
      <c r="H13" s="545">
        <f>1Önk!C61</f>
        <v>293224</v>
      </c>
      <c r="I13" s="545">
        <f>1Önk!D61</f>
        <v>315647</v>
      </c>
      <c r="J13" s="545">
        <f>1Önk!E61</f>
        <v>321345</v>
      </c>
      <c r="K13" s="545">
        <f>1Önk!F61</f>
        <v>257955</v>
      </c>
      <c r="L13" s="564">
        <f>1Önk!G61</f>
        <v>303535</v>
      </c>
    </row>
    <row r="14" spans="1:12" ht="24" customHeight="1">
      <c r="A14" s="87"/>
      <c r="B14" s="543"/>
      <c r="C14" s="543"/>
      <c r="D14" s="543"/>
      <c r="E14" s="543"/>
      <c r="F14" s="98"/>
      <c r="G14" s="560" t="s">
        <v>183</v>
      </c>
      <c r="H14" s="545">
        <f>1Önk!C62</f>
        <v>8626</v>
      </c>
      <c r="I14" s="545">
        <f>1Önk!D62</f>
        <v>0</v>
      </c>
      <c r="J14" s="545">
        <f>1Önk!E62</f>
        <v>0</v>
      </c>
      <c r="K14" s="545">
        <f>1Önk!F62</f>
        <v>7074</v>
      </c>
      <c r="L14" s="564">
        <f>1Önk!G62</f>
        <v>0</v>
      </c>
    </row>
    <row r="15" spans="1:12" ht="15.75" customHeight="1">
      <c r="A15" s="87"/>
      <c r="B15" s="543"/>
      <c r="C15" s="543"/>
      <c r="D15" s="543"/>
      <c r="E15" s="543"/>
      <c r="F15" s="98"/>
      <c r="G15" s="560" t="s">
        <v>184</v>
      </c>
      <c r="H15" s="545">
        <f>1Önk!C63</f>
        <v>18456</v>
      </c>
      <c r="I15" s="545">
        <f>1Önk!D63</f>
        <v>16800</v>
      </c>
      <c r="J15" s="545">
        <f>1Önk!E63</f>
        <v>16800</v>
      </c>
      <c r="K15" s="545">
        <f>1Önk!F63</f>
        <v>14256</v>
      </c>
      <c r="L15" s="564">
        <f>1Önk!G63</f>
        <v>24488</v>
      </c>
    </row>
    <row r="16" spans="1:12" ht="24" customHeight="1">
      <c r="A16" s="87"/>
      <c r="B16" s="543"/>
      <c r="C16" s="543"/>
      <c r="D16" s="543"/>
      <c r="E16" s="543"/>
      <c r="F16" s="98"/>
      <c r="G16" s="561" t="s">
        <v>352</v>
      </c>
      <c r="H16" s="545">
        <f>SUM(1Önk!C65:C74)</f>
        <v>35215</v>
      </c>
      <c r="I16" s="545">
        <f>SUM(1Önk!D65:D74)</f>
        <v>76824</v>
      </c>
      <c r="J16" s="545">
        <f>SUM(1Önk!E65:E74)</f>
        <v>82529</v>
      </c>
      <c r="K16" s="545">
        <f>SUM(1Önk!F65:F74)</f>
        <v>71927</v>
      </c>
      <c r="L16" s="564">
        <f>SUM(1Önk!G65:G74)</f>
        <v>160198</v>
      </c>
    </row>
    <row r="17" spans="1:12" ht="24.75" customHeight="1">
      <c r="A17" s="87"/>
      <c r="B17" s="543"/>
      <c r="C17" s="543"/>
      <c r="D17" s="543"/>
      <c r="E17" s="543"/>
      <c r="F17" s="98"/>
      <c r="G17" s="228" t="s">
        <v>34</v>
      </c>
      <c r="H17" s="546">
        <f>1Önk!C80</f>
        <v>0</v>
      </c>
      <c r="I17" s="546">
        <f>1Önk!D80</f>
        <v>9000</v>
      </c>
      <c r="J17" s="546">
        <f>1Önk!E80</f>
        <v>9000</v>
      </c>
      <c r="K17" s="546">
        <f>1Önk!F80</f>
        <v>0</v>
      </c>
      <c r="L17" s="565">
        <f>1Önk!G80</f>
        <v>9000</v>
      </c>
    </row>
    <row r="18" spans="1:12" ht="15.75" customHeight="1">
      <c r="A18" s="87"/>
      <c r="B18" s="543"/>
      <c r="C18" s="543"/>
      <c r="D18" s="543"/>
      <c r="E18" s="543"/>
      <c r="F18" s="98"/>
      <c r="G18" s="228" t="s">
        <v>219</v>
      </c>
      <c r="H18" s="546">
        <f>1Önk!C86</f>
        <v>0</v>
      </c>
      <c r="I18" s="546">
        <f>1Önk!D86</f>
        <v>106018</v>
      </c>
      <c r="J18" s="546">
        <f>1Önk!E86</f>
        <v>106018</v>
      </c>
      <c r="K18" s="546">
        <f>1Önk!F86</f>
        <v>122518</v>
      </c>
      <c r="L18" s="565">
        <f>1Önk!G86</f>
        <v>0</v>
      </c>
    </row>
    <row r="19" spans="1:12" ht="15.75" customHeight="1">
      <c r="A19" s="87"/>
      <c r="B19" s="543"/>
      <c r="C19" s="543"/>
      <c r="D19" s="543"/>
      <c r="E19" s="543"/>
      <c r="F19" s="98"/>
      <c r="G19" s="711" t="s">
        <v>307</v>
      </c>
      <c r="H19" s="547">
        <v>4494</v>
      </c>
      <c r="I19" s="547"/>
      <c r="J19" s="547"/>
      <c r="K19" s="547"/>
      <c r="L19" s="712"/>
    </row>
    <row r="20" spans="1:12" ht="15.75" customHeight="1" thickBot="1">
      <c r="A20" s="87"/>
      <c r="B20" s="543"/>
      <c r="C20" s="543"/>
      <c r="D20" s="543"/>
      <c r="E20" s="543"/>
      <c r="F20" s="98"/>
      <c r="G20" s="88" t="s">
        <v>178</v>
      </c>
      <c r="H20" s="547">
        <v>-15233</v>
      </c>
      <c r="I20" s="547"/>
      <c r="J20" s="544"/>
      <c r="K20" s="544">
        <v>-6963</v>
      </c>
      <c r="L20" s="101"/>
    </row>
    <row r="21" spans="1:12" ht="15.75" customHeight="1" thickBot="1">
      <c r="A21" s="57" t="s">
        <v>51</v>
      </c>
      <c r="B21" s="89">
        <f>SUM(B5:B20)</f>
        <v>1088221</v>
      </c>
      <c r="C21" s="89">
        <f>SUM(C5:C20)</f>
        <v>1275838</v>
      </c>
      <c r="D21" s="89">
        <f>SUM(D5:D20)</f>
        <v>1312468</v>
      </c>
      <c r="E21" s="89">
        <f>SUM(E5:E20)</f>
        <v>886791</v>
      </c>
      <c r="F21" s="89">
        <f>SUM(F5:F20)</f>
        <v>1119970</v>
      </c>
      <c r="G21" s="57" t="s">
        <v>51</v>
      </c>
      <c r="H21" s="89">
        <f>SUM(H5:H20)-293224</f>
        <v>1025548</v>
      </c>
      <c r="I21" s="89">
        <f>SUM(I5:I20)-I13</f>
        <v>1190228</v>
      </c>
      <c r="J21" s="89">
        <f>SUM(J5:J20)-J13+5698</f>
        <v>1226858</v>
      </c>
      <c r="K21" s="89">
        <f>SUM(K5:K20)-K13</f>
        <v>1085823</v>
      </c>
      <c r="L21" s="90">
        <f>SUM(L5:L20)-L13</f>
        <v>1163066</v>
      </c>
    </row>
    <row r="22" spans="1:12" ht="15.75" customHeight="1" thickBot="1">
      <c r="A22" s="58" t="s">
        <v>510</v>
      </c>
      <c r="B22" s="181">
        <f>B21-H21</f>
        <v>62673</v>
      </c>
      <c r="C22" s="181">
        <f>C21-I21</f>
        <v>85610</v>
      </c>
      <c r="D22" s="181">
        <f>D21-J21</f>
        <v>85610</v>
      </c>
      <c r="E22" s="181"/>
      <c r="F22" s="181"/>
      <c r="G22" s="58" t="s">
        <v>511</v>
      </c>
      <c r="H22" s="229"/>
      <c r="I22" s="229"/>
      <c r="J22" s="181"/>
      <c r="K22" s="181">
        <f>K21-E21</f>
        <v>199032</v>
      </c>
      <c r="L22" s="181">
        <f>L21-F21</f>
        <v>43096</v>
      </c>
    </row>
    <row r="23" ht="18" customHeight="1"/>
    <row r="24" ht="18" customHeight="1"/>
  </sheetData>
  <sheetProtection sheet="1" objects="1" scenarios="1"/>
  <printOptions horizontalCentered="1"/>
  <pageMargins left="0.1968503937007874" right="0.1968503937007874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&amp;11 2/a.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50390625" style="91" customWidth="1"/>
    <col min="2" max="2" width="33.125" style="91" customWidth="1"/>
    <col min="3" max="3" width="16.875" style="91" customWidth="1"/>
    <col min="4" max="4" width="16.50390625" style="91" customWidth="1"/>
    <col min="5" max="5" width="14.375" style="91" customWidth="1"/>
    <col min="6" max="6" width="17.875" style="91" customWidth="1"/>
    <col min="7" max="7" width="18.00390625" style="91" customWidth="1"/>
    <col min="8" max="16384" width="9.375" style="91" customWidth="1"/>
  </cols>
  <sheetData>
    <row r="2" spans="1:6" s="158" customFormat="1" ht="27" customHeight="1">
      <c r="A2" s="156" t="s">
        <v>76</v>
      </c>
      <c r="B2" s="157"/>
      <c r="C2" s="1032" t="s">
        <v>95</v>
      </c>
      <c r="D2" s="1032"/>
      <c r="E2" s="1032"/>
      <c r="F2" s="1032"/>
    </row>
    <row r="3" s="158" customFormat="1" ht="15.75"/>
    <row r="4" spans="1:7" ht="24" customHeight="1">
      <c r="A4" t="s">
        <v>77</v>
      </c>
      <c r="B4"/>
      <c r="C4"/>
      <c r="D4"/>
      <c r="E4"/>
      <c r="F4"/>
      <c r="G4"/>
    </row>
    <row r="5" spans="1:7" ht="24" customHeight="1" thickBot="1">
      <c r="A5"/>
      <c r="B5"/>
      <c r="C5"/>
      <c r="D5"/>
      <c r="E5"/>
      <c r="F5"/>
      <c r="G5"/>
    </row>
    <row r="6" spans="1:7" ht="50.25" customHeight="1" thickBot="1">
      <c r="A6" s="204" t="s">
        <v>205</v>
      </c>
      <c r="B6" s="205" t="s">
        <v>206</v>
      </c>
      <c r="C6" s="206" t="s">
        <v>207</v>
      </c>
      <c r="D6" s="206" t="s">
        <v>208</v>
      </c>
      <c r="E6" s="207" t="s">
        <v>209</v>
      </c>
      <c r="F6" s="207" t="s">
        <v>210</v>
      </c>
      <c r="G6" s="208" t="s">
        <v>35</v>
      </c>
    </row>
    <row r="7" spans="1:7" ht="33.75" customHeight="1">
      <c r="A7" s="209" t="s">
        <v>3</v>
      </c>
      <c r="B7" s="210" t="s">
        <v>211</v>
      </c>
      <c r="C7" s="211"/>
      <c r="D7" s="211"/>
      <c r="E7" s="212"/>
      <c r="F7" s="212"/>
      <c r="G7" s="213"/>
    </row>
    <row r="8" spans="1:7" ht="32.25" customHeight="1">
      <c r="A8" s="214" t="s">
        <v>4</v>
      </c>
      <c r="B8" s="215" t="s">
        <v>212</v>
      </c>
      <c r="C8" s="216"/>
      <c r="D8" s="216"/>
      <c r="E8" s="217"/>
      <c r="F8" s="217"/>
      <c r="G8" s="213"/>
    </row>
    <row r="9" spans="1:7" ht="24" customHeight="1" thickBot="1">
      <c r="A9" s="218" t="s">
        <v>5</v>
      </c>
      <c r="B9" s="219" t="s">
        <v>78</v>
      </c>
      <c r="C9" s="220"/>
      <c r="D9" s="220"/>
      <c r="E9" s="221"/>
      <c r="F9" s="221"/>
      <c r="G9" s="222"/>
    </row>
    <row r="10" spans="1:7" s="160" customFormat="1" ht="24" customHeight="1" thickBot="1">
      <c r="A10" s="223" t="s">
        <v>6</v>
      </c>
      <c r="B10" s="224" t="s">
        <v>36</v>
      </c>
      <c r="C10" s="225"/>
      <c r="D10" s="225"/>
      <c r="E10" s="225"/>
      <c r="F10" s="225"/>
      <c r="G10" s="226"/>
    </row>
    <row r="11" s="159" customFormat="1" ht="12.75"/>
    <row r="12" s="159" customFormat="1" ht="12.75"/>
    <row r="13" s="159" customFormat="1" ht="12.75"/>
    <row r="14" s="159" customFormat="1" ht="15.75">
      <c r="A14" s="158" t="s">
        <v>147</v>
      </c>
    </row>
    <row r="15" s="159" customFormat="1" ht="12.75"/>
    <row r="16" s="159" customFormat="1" ht="12.75"/>
    <row r="19" spans="3:5" ht="13.5">
      <c r="C19" s="161"/>
      <c r="D19" s="162" t="s">
        <v>79</v>
      </c>
      <c r="E19" s="161"/>
    </row>
  </sheetData>
  <sheetProtection sheet="1"/>
  <mergeCells count="1">
    <mergeCell ref="C2:F2"/>
  </mergeCells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 18.sz. melléklet a ........./2008. (.....) sz. rendelethez
&amp;"Times New Roman CE,Normál"Adatszolgáltatás 
az elismert tartozásállományról&amp;10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E42"/>
  <sheetViews>
    <sheetView zoomScale="120" zoomScaleNormal="120" zoomScalePageLayoutView="0" workbookViewId="0" topLeftCell="A1">
      <selection activeCell="G8" sqref="G8"/>
    </sheetView>
  </sheetViews>
  <sheetFormatPr defaultColWidth="9.00390625" defaultRowHeight="12.75"/>
  <cols>
    <col min="1" max="1" width="46.50390625" style="0" customWidth="1"/>
    <col min="2" max="2" width="13.50390625" style="0" customWidth="1"/>
    <col min="3" max="3" width="11.375" style="0" customWidth="1"/>
    <col min="4" max="4" width="11.50390625" style="0" customWidth="1"/>
    <col min="5" max="5" width="10.875" style="0" customWidth="1"/>
    <col min="6" max="6" width="15.875" style="0" customWidth="1"/>
  </cols>
  <sheetData>
    <row r="3" ht="13.5" thickBot="1">
      <c r="D3" t="s">
        <v>325</v>
      </c>
    </row>
    <row r="4" spans="1:5" ht="51.75" thickTop="1">
      <c r="A4" s="374" t="s">
        <v>48</v>
      </c>
      <c r="B4" s="375" t="s">
        <v>285</v>
      </c>
      <c r="C4" s="375" t="s">
        <v>286</v>
      </c>
      <c r="D4" s="404" t="s">
        <v>324</v>
      </c>
      <c r="E4" s="376" t="s">
        <v>153</v>
      </c>
    </row>
    <row r="5" spans="1:5" ht="12.75">
      <c r="A5" s="377" t="s">
        <v>299</v>
      </c>
      <c r="B5" s="378">
        <f>B6</f>
        <v>16751</v>
      </c>
      <c r="C5" s="378">
        <f>C6</f>
        <v>1500</v>
      </c>
      <c r="D5" s="378">
        <f>D6</f>
        <v>18846</v>
      </c>
      <c r="E5" s="402">
        <f>E6</f>
        <v>2800</v>
      </c>
    </row>
    <row r="6" spans="1:5" ht="12.75">
      <c r="A6" s="379" t="s">
        <v>287</v>
      </c>
      <c r="B6" s="381">
        <v>16751</v>
      </c>
      <c r="C6" s="381">
        <v>1500</v>
      </c>
      <c r="D6" s="405">
        <v>18846</v>
      </c>
      <c r="E6" s="389">
        <v>2800</v>
      </c>
    </row>
    <row r="7" spans="1:5" ht="12.75">
      <c r="A7" s="379"/>
      <c r="B7" s="381"/>
      <c r="C7" s="381"/>
      <c r="D7" s="405"/>
      <c r="E7" s="389"/>
    </row>
    <row r="8" spans="1:5" ht="12.75">
      <c r="A8" s="377" t="s">
        <v>300</v>
      </c>
      <c r="B8" s="378">
        <f>SUM(B9:B12)</f>
        <v>18338</v>
      </c>
      <c r="C8" s="378">
        <f>SUM(C9:C12)</f>
        <v>23358</v>
      </c>
      <c r="D8" s="378">
        <f>SUM(D9:D12)</f>
        <v>20226</v>
      </c>
      <c r="E8" s="402">
        <f>SUM(E9:E12)</f>
        <v>24240</v>
      </c>
    </row>
    <row r="9" spans="1:5" ht="12.75">
      <c r="A9" s="379" t="s">
        <v>288</v>
      </c>
      <c r="B9" s="380">
        <v>195</v>
      </c>
      <c r="C9" s="380">
        <v>30</v>
      </c>
      <c r="D9" s="406">
        <v>25</v>
      </c>
      <c r="E9" s="389">
        <v>140</v>
      </c>
    </row>
    <row r="10" spans="1:5" ht="12.75">
      <c r="A10" s="379" t="s">
        <v>289</v>
      </c>
      <c r="B10" s="381">
        <v>410</v>
      </c>
      <c r="C10" s="381">
        <v>40</v>
      </c>
      <c r="D10" s="405">
        <v>226</v>
      </c>
      <c r="E10" s="389">
        <v>300</v>
      </c>
    </row>
    <row r="11" spans="1:5" ht="12.75">
      <c r="A11" s="379" t="s">
        <v>304</v>
      </c>
      <c r="B11" s="381">
        <v>15028</v>
      </c>
      <c r="C11" s="381">
        <f>419+19317</f>
        <v>19736</v>
      </c>
      <c r="D11" s="405">
        <v>16542</v>
      </c>
      <c r="E11" s="389">
        <v>23800</v>
      </c>
    </row>
    <row r="12" spans="1:5" ht="12.75">
      <c r="A12" s="388" t="s">
        <v>306</v>
      </c>
      <c r="B12" s="381">
        <v>2705</v>
      </c>
      <c r="C12" s="381">
        <v>3552</v>
      </c>
      <c r="D12" s="405">
        <v>3433</v>
      </c>
      <c r="E12" s="389"/>
    </row>
    <row r="13" spans="1:5" ht="12.75">
      <c r="A13" s="379"/>
      <c r="B13" s="381"/>
      <c r="C13" s="381"/>
      <c r="D13" s="405"/>
      <c r="E13" s="389"/>
    </row>
    <row r="14" spans="1:5" ht="12.75">
      <c r="A14" s="377" t="s">
        <v>301</v>
      </c>
      <c r="B14" s="378">
        <f>SUM(B15:B16)</f>
        <v>5525</v>
      </c>
      <c r="C14" s="378">
        <f>SUM(C15:C16)</f>
        <v>4150</v>
      </c>
      <c r="D14" s="378">
        <f>SUM(D15:D16)</f>
        <v>2623</v>
      </c>
      <c r="E14" s="402">
        <f>SUM(E15:E16)</f>
        <v>3500</v>
      </c>
    </row>
    <row r="15" spans="1:5" ht="12.75">
      <c r="A15" s="388" t="s">
        <v>292</v>
      </c>
      <c r="B15" s="381">
        <f>222+72</f>
        <v>294</v>
      </c>
      <c r="C15" s="381">
        <v>400</v>
      </c>
      <c r="D15" s="405">
        <v>76</v>
      </c>
      <c r="E15" s="389">
        <v>300</v>
      </c>
    </row>
    <row r="16" spans="1:5" ht="12.75">
      <c r="A16" s="379" t="s">
        <v>302</v>
      </c>
      <c r="B16" s="381">
        <f>3897+1334</f>
        <v>5231</v>
      </c>
      <c r="C16" s="380">
        <v>3750</v>
      </c>
      <c r="D16" s="406">
        <v>2547</v>
      </c>
      <c r="E16" s="389">
        <v>3200</v>
      </c>
    </row>
    <row r="17" spans="1:5" ht="12.75">
      <c r="A17" s="379"/>
      <c r="B17" s="381"/>
      <c r="C17" s="380"/>
      <c r="D17" s="406"/>
      <c r="E17" s="389"/>
    </row>
    <row r="18" spans="1:5" ht="12.75">
      <c r="A18" s="377" t="s">
        <v>303</v>
      </c>
      <c r="B18" s="391">
        <f>SUM(B19:B21)</f>
        <v>5901</v>
      </c>
      <c r="C18" s="391">
        <f>SUM(C19:C21)</f>
        <v>4450</v>
      </c>
      <c r="D18" s="391">
        <f>SUM(D19:D21)</f>
        <v>2242</v>
      </c>
      <c r="E18" s="403">
        <f>SUM(E19:E21)</f>
        <v>1800</v>
      </c>
    </row>
    <row r="19" spans="1:5" ht="12.75">
      <c r="A19" s="379" t="s">
        <v>322</v>
      </c>
      <c r="B19" s="381">
        <f>1531+1910</f>
        <v>3441</v>
      </c>
      <c r="C19" s="381">
        <v>3000</v>
      </c>
      <c r="D19" s="405">
        <v>1960</v>
      </c>
      <c r="E19" s="389">
        <v>1400</v>
      </c>
    </row>
    <row r="20" spans="1:5" ht="12.75">
      <c r="A20" s="379" t="s">
        <v>293</v>
      </c>
      <c r="B20" s="381">
        <v>550</v>
      </c>
      <c r="C20" s="381">
        <v>1450</v>
      </c>
      <c r="D20" s="405">
        <v>282</v>
      </c>
      <c r="E20" s="389">
        <v>400</v>
      </c>
    </row>
    <row r="21" spans="1:5" ht="12.75">
      <c r="A21" s="379" t="s">
        <v>323</v>
      </c>
      <c r="B21" s="381">
        <v>1910</v>
      </c>
      <c r="C21" s="381"/>
      <c r="D21" s="405"/>
      <c r="E21" s="389"/>
    </row>
    <row r="22" spans="1:5" ht="12.75">
      <c r="A22" s="379"/>
      <c r="B22" s="381"/>
      <c r="C22" s="381"/>
      <c r="D22" s="405"/>
      <c r="E22" s="389"/>
    </row>
    <row r="23" spans="1:5" ht="12.75">
      <c r="A23" s="377" t="s">
        <v>305</v>
      </c>
      <c r="B23" s="378">
        <f>SUM(B24:B31)</f>
        <v>27778</v>
      </c>
      <c r="C23" s="378">
        <f>SUM(C24:C31)</f>
        <v>28100</v>
      </c>
      <c r="D23" s="378">
        <f>SUM(D24:D31)</f>
        <v>13928</v>
      </c>
      <c r="E23" s="402">
        <f>SUM(E24:E31)</f>
        <v>17210</v>
      </c>
    </row>
    <row r="24" spans="1:5" ht="12.75">
      <c r="A24" s="379" t="s">
        <v>294</v>
      </c>
      <c r="B24" s="381">
        <v>1123</v>
      </c>
      <c r="C24" s="381">
        <v>1380</v>
      </c>
      <c r="D24" s="405">
        <v>895</v>
      </c>
      <c r="E24" s="389">
        <v>1440</v>
      </c>
    </row>
    <row r="25" spans="1:5" ht="12.75">
      <c r="A25" s="379" t="s">
        <v>295</v>
      </c>
      <c r="B25" s="381">
        <v>1439</v>
      </c>
      <c r="C25" s="381"/>
      <c r="D25" s="405">
        <v>1211</v>
      </c>
      <c r="E25" s="389"/>
    </row>
    <row r="26" spans="1:5" ht="12.75">
      <c r="A26" s="379" t="s">
        <v>296</v>
      </c>
      <c r="B26" s="381">
        <v>16897</v>
      </c>
      <c r="C26" s="381">
        <v>17000</v>
      </c>
      <c r="D26" s="405">
        <v>5327</v>
      </c>
      <c r="E26" s="389">
        <v>8400</v>
      </c>
    </row>
    <row r="27" spans="1:5" ht="12.75">
      <c r="A27" s="379" t="s">
        <v>297</v>
      </c>
      <c r="B27" s="381">
        <v>1029</v>
      </c>
      <c r="C27" s="381">
        <v>850</v>
      </c>
      <c r="D27" s="405">
        <v>655</v>
      </c>
      <c r="E27" s="389">
        <v>700</v>
      </c>
    </row>
    <row r="28" spans="1:5" ht="12.75">
      <c r="A28" s="379" t="s">
        <v>298</v>
      </c>
      <c r="B28" s="381">
        <v>3127</v>
      </c>
      <c r="C28" s="381">
        <v>4320</v>
      </c>
      <c r="D28" s="405">
        <v>2534</v>
      </c>
      <c r="E28" s="389">
        <v>3000</v>
      </c>
    </row>
    <row r="29" spans="1:5" ht="12.75">
      <c r="A29" s="379" t="s">
        <v>290</v>
      </c>
      <c r="B29" s="381">
        <v>3503</v>
      </c>
      <c r="C29" s="381">
        <v>4000</v>
      </c>
      <c r="D29" s="405">
        <v>2531</v>
      </c>
      <c r="E29" s="389">
        <v>2550</v>
      </c>
    </row>
    <row r="30" spans="1:5" ht="12.75">
      <c r="A30" s="379" t="s">
        <v>291</v>
      </c>
      <c r="B30" s="381">
        <v>660</v>
      </c>
      <c r="C30" s="381">
        <v>550</v>
      </c>
      <c r="D30" s="405">
        <v>775</v>
      </c>
      <c r="E30" s="389">
        <v>1120</v>
      </c>
    </row>
    <row r="31" spans="1:5" ht="12.75">
      <c r="A31" s="379"/>
      <c r="B31" s="381"/>
      <c r="C31" s="381"/>
      <c r="D31" s="405"/>
      <c r="E31" s="389"/>
    </row>
    <row r="32" spans="1:5" ht="12.75">
      <c r="A32" s="638" t="s">
        <v>259</v>
      </c>
      <c r="B32" s="378">
        <v>3652</v>
      </c>
      <c r="C32" s="378">
        <v>2730</v>
      </c>
      <c r="D32" s="639">
        <v>2542</v>
      </c>
      <c r="E32" s="402">
        <v>3000</v>
      </c>
    </row>
    <row r="33" spans="1:5" ht="12.75">
      <c r="A33" s="638" t="s">
        <v>392</v>
      </c>
      <c r="B33" s="378"/>
      <c r="C33" s="378"/>
      <c r="D33" s="639"/>
      <c r="E33" s="402">
        <v>50</v>
      </c>
    </row>
    <row r="34" spans="1:5" ht="13.5" thickBot="1">
      <c r="A34" s="382"/>
      <c r="B34" s="383"/>
      <c r="C34" s="383"/>
      <c r="D34" s="407"/>
      <c r="E34" s="390"/>
    </row>
    <row r="35" spans="1:5" ht="14.25" thickBot="1" thickTop="1">
      <c r="A35" s="384" t="s">
        <v>284</v>
      </c>
      <c r="B35" s="385">
        <f>B5+B8+B14+B18+B23+B32+B33</f>
        <v>77945</v>
      </c>
      <c r="C35" s="385">
        <f>C5+C8+C14+C18+C23+C32+C33</f>
        <v>64288</v>
      </c>
      <c r="D35" s="385">
        <f>D5+D8+D14+D18+D23+D32+D33</f>
        <v>60407</v>
      </c>
      <c r="E35" s="408">
        <f>E5+E8+E14+E18+E23+E32+E33</f>
        <v>52600</v>
      </c>
    </row>
    <row r="36" spans="1:5" ht="13.5" thickTop="1">
      <c r="A36" s="386"/>
      <c r="B36" s="387"/>
      <c r="C36" s="387"/>
      <c r="D36" s="387"/>
      <c r="E36" s="387"/>
    </row>
    <row r="38" ht="12.75">
      <c r="A38" t="s">
        <v>398</v>
      </c>
    </row>
    <row r="39" ht="12.75">
      <c r="A39" t="s">
        <v>399</v>
      </c>
    </row>
    <row r="41" ht="12.75">
      <c r="A41" t="s">
        <v>400</v>
      </c>
    </row>
    <row r="42" ht="12.75">
      <c r="A42" t="s">
        <v>401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  <headerFooter alignWithMargins="0">
    <oddHeader>&amp;CÓcsa Város Önkormányzat 2008. évi szociális juttatásai&amp;R19. számú melléklet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5:D9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7.00390625" style="0" customWidth="1"/>
    <col min="2" max="2" width="15.625" style="0" customWidth="1"/>
    <col min="3" max="3" width="15.875" style="0" customWidth="1"/>
    <col min="4" max="4" width="19.00390625" style="0" customWidth="1"/>
  </cols>
  <sheetData>
    <row r="4" ht="13.5" thickBot="1"/>
    <row r="5" spans="1:4" ht="14.25" thickBot="1" thickTop="1">
      <c r="A5" s="802" t="s">
        <v>48</v>
      </c>
      <c r="B5" s="803">
        <v>2006</v>
      </c>
      <c r="C5" s="803">
        <v>2007</v>
      </c>
      <c r="D5" s="804">
        <v>2008</v>
      </c>
    </row>
    <row r="6" spans="1:4" ht="14.25" thickBot="1" thickTop="1">
      <c r="A6" s="416"/>
      <c r="B6" s="414"/>
      <c r="C6" s="419"/>
      <c r="D6" s="415"/>
    </row>
    <row r="7" spans="1:4" ht="13.5" thickTop="1">
      <c r="A7" s="414" t="s">
        <v>328</v>
      </c>
      <c r="B7" s="548">
        <v>4413</v>
      </c>
      <c r="C7" s="549">
        <v>9000</v>
      </c>
      <c r="D7" s="550">
        <v>9000</v>
      </c>
    </row>
    <row r="8" spans="1:4" ht="13.5" thickBot="1">
      <c r="A8" s="418" t="s">
        <v>43</v>
      </c>
      <c r="B8" s="551"/>
      <c r="C8" s="552"/>
      <c r="D8" s="553"/>
    </row>
    <row r="9" spans="1:4" ht="14.25" thickBot="1" thickTop="1">
      <c r="A9" s="417" t="s">
        <v>35</v>
      </c>
      <c r="B9" s="554">
        <f>SUM(B7:B8)</f>
        <v>4413</v>
      </c>
      <c r="C9" s="555">
        <f>SUM(C7:C8)</f>
        <v>9000</v>
      </c>
      <c r="D9" s="556">
        <f>SUM(D7:D8)</f>
        <v>9000</v>
      </c>
    </row>
    <row r="10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CE,Félkövér"&amp;11Ócsa Város Önkormányzat 2008. évre tervezett Tartalékainak megoszlása
&amp;R
20.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71.625" style="0" customWidth="1"/>
    <col min="2" max="2" width="13.875" style="0" customWidth="1"/>
    <col min="3" max="3" width="10.625" style="0" customWidth="1"/>
  </cols>
  <sheetData>
    <row r="1" spans="1:2" ht="15.75">
      <c r="A1" s="893" t="s">
        <v>566</v>
      </c>
      <c r="B1" t="s">
        <v>565</v>
      </c>
    </row>
    <row r="2" ht="15.75">
      <c r="A2" s="893"/>
    </row>
    <row r="3" ht="13.5" thickBot="1"/>
    <row r="4" spans="1:2" ht="13.5" thickBot="1">
      <c r="A4" s="810" t="s">
        <v>563</v>
      </c>
      <c r="B4" s="809" t="s">
        <v>564</v>
      </c>
    </row>
    <row r="5" spans="1:2" ht="12.75">
      <c r="A5" s="597"/>
      <c r="B5" s="599"/>
    </row>
    <row r="6" spans="1:2" ht="25.5">
      <c r="A6" s="806" t="s">
        <v>558</v>
      </c>
      <c r="B6" s="684">
        <v>0</v>
      </c>
    </row>
    <row r="7" spans="1:2" ht="25.5">
      <c r="A7" s="806" t="s">
        <v>559</v>
      </c>
      <c r="B7" s="684">
        <v>0</v>
      </c>
    </row>
    <row r="8" spans="1:2" ht="12.75">
      <c r="A8" s="806" t="s">
        <v>560</v>
      </c>
      <c r="B8" s="684">
        <v>0</v>
      </c>
    </row>
    <row r="9" spans="1:2" ht="25.5">
      <c r="A9" s="806" t="s">
        <v>561</v>
      </c>
      <c r="B9" s="684">
        <v>0</v>
      </c>
    </row>
    <row r="10" spans="1:2" ht="13.5" thickBot="1">
      <c r="A10" s="807" t="s">
        <v>562</v>
      </c>
      <c r="B10" s="686">
        <v>0</v>
      </c>
    </row>
    <row r="11" spans="1:2" ht="13.5" thickBot="1">
      <c r="A11" s="808" t="s">
        <v>35</v>
      </c>
      <c r="B11" s="80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30.875" style="78" customWidth="1"/>
    <col min="2" max="2" width="9.50390625" style="78" customWidth="1"/>
    <col min="3" max="3" width="10.875" style="78" customWidth="1"/>
    <col min="4" max="4" width="10.125" style="77" customWidth="1"/>
    <col min="5" max="5" width="10.875" style="77" customWidth="1"/>
    <col min="6" max="6" width="12.875" style="77" customWidth="1"/>
    <col min="7" max="7" width="27.625" style="77" customWidth="1"/>
    <col min="8" max="8" width="10.50390625" style="77" customWidth="1"/>
    <col min="9" max="9" width="11.00390625" style="77" customWidth="1"/>
    <col min="10" max="10" width="9.375" style="77" customWidth="1"/>
    <col min="11" max="11" width="11.125" style="77" customWidth="1"/>
    <col min="12" max="12" width="11.50390625" style="77" customWidth="1"/>
    <col min="13" max="16384" width="9.375" style="77" customWidth="1"/>
  </cols>
  <sheetData>
    <row r="1" spans="1:12" ht="39.75" customHeight="1">
      <c r="A1" s="75" t="s">
        <v>52</v>
      </c>
      <c r="B1" s="75"/>
      <c r="C1" s="75"/>
      <c r="D1" s="76"/>
      <c r="E1" s="76"/>
      <c r="F1" s="76"/>
      <c r="G1" s="76"/>
      <c r="H1" s="76"/>
      <c r="I1" s="76"/>
      <c r="J1" s="76"/>
      <c r="K1" s="76"/>
      <c r="L1" s="76"/>
    </row>
    <row r="2" ht="14.25" thickBot="1">
      <c r="L2" s="79" t="s">
        <v>47</v>
      </c>
    </row>
    <row r="3" spans="1:12" ht="24" customHeight="1" thickBot="1">
      <c r="A3" s="80" t="s">
        <v>38</v>
      </c>
      <c r="B3" s="227"/>
      <c r="C3" s="227"/>
      <c r="D3" s="81"/>
      <c r="E3" s="81"/>
      <c r="F3" s="81"/>
      <c r="G3" s="80" t="s">
        <v>40</v>
      </c>
      <c r="H3" s="227"/>
      <c r="I3" s="227"/>
      <c r="J3" s="81"/>
      <c r="K3" s="81"/>
      <c r="L3" s="82"/>
    </row>
    <row r="4" spans="1:12" s="85" customFormat="1" ht="41.25" customHeight="1" thickBot="1">
      <c r="A4" s="83" t="s">
        <v>48</v>
      </c>
      <c r="B4" s="43" t="s">
        <v>151</v>
      </c>
      <c r="C4" s="43" t="s">
        <v>136</v>
      </c>
      <c r="D4" s="62" t="s">
        <v>357</v>
      </c>
      <c r="E4" s="43" t="s">
        <v>358</v>
      </c>
      <c r="F4" s="62" t="s">
        <v>153</v>
      </c>
      <c r="G4" s="83" t="s">
        <v>48</v>
      </c>
      <c r="H4" s="43" t="s">
        <v>151</v>
      </c>
      <c r="I4" s="43" t="s">
        <v>136</v>
      </c>
      <c r="J4" s="62" t="s">
        <v>357</v>
      </c>
      <c r="K4" s="43" t="s">
        <v>329</v>
      </c>
      <c r="L4" s="62" t="s">
        <v>153</v>
      </c>
    </row>
    <row r="5" spans="1:12" ht="27.75" customHeight="1">
      <c r="A5" s="731" t="s">
        <v>81</v>
      </c>
      <c r="B5" s="545">
        <f>1Önk!C22</f>
        <v>28447</v>
      </c>
      <c r="C5" s="545">
        <f>1Önk!D22</f>
        <v>40000</v>
      </c>
      <c r="D5" s="545">
        <f>1Önk!E22</f>
        <v>40000</v>
      </c>
      <c r="E5" s="545">
        <f>1Önk!F22</f>
        <v>0</v>
      </c>
      <c r="F5" s="545">
        <f>1Önk!G22</f>
        <v>30000</v>
      </c>
      <c r="G5" s="231" t="s">
        <v>84</v>
      </c>
      <c r="H5" s="545">
        <f>1Önk!C76</f>
        <v>12315</v>
      </c>
      <c r="I5" s="545">
        <f>1Önk!D76</f>
        <v>13250</v>
      </c>
      <c r="J5" s="545">
        <f>1Önk!E76</f>
        <v>13250</v>
      </c>
      <c r="K5" s="545">
        <f>1Önk!F76</f>
        <v>1828</v>
      </c>
      <c r="L5" s="566">
        <f>1Önk!G76</f>
        <v>1958</v>
      </c>
    </row>
    <row r="6" spans="1:12" ht="27.75" customHeight="1">
      <c r="A6" s="732" t="s">
        <v>162</v>
      </c>
      <c r="B6" s="545">
        <f>1Önk!C23</f>
        <v>420</v>
      </c>
      <c r="C6" s="545">
        <f>1Önk!D23</f>
        <v>450</v>
      </c>
      <c r="D6" s="545">
        <f>1Önk!E23</f>
        <v>450</v>
      </c>
      <c r="E6" s="545">
        <f>1Önk!F23</f>
        <v>240</v>
      </c>
      <c r="F6" s="545">
        <f>1Önk!G23</f>
        <v>450</v>
      </c>
      <c r="G6" s="232" t="s">
        <v>179</v>
      </c>
      <c r="H6" s="545">
        <f>1Önk!C77</f>
        <v>294492</v>
      </c>
      <c r="I6" s="545">
        <f>1Önk!D77</f>
        <v>346244</v>
      </c>
      <c r="J6" s="545">
        <f>1Önk!E77</f>
        <v>346244</v>
      </c>
      <c r="K6" s="545">
        <f>1Önk!F77</f>
        <v>323148</v>
      </c>
      <c r="L6" s="564">
        <f>1Önk!G77</f>
        <v>273107</v>
      </c>
    </row>
    <row r="7" spans="1:12" ht="27.75" customHeight="1">
      <c r="A7" s="733" t="s">
        <v>82</v>
      </c>
      <c r="B7" s="545">
        <f>1Önk!C24</f>
        <v>15781</v>
      </c>
      <c r="C7" s="545">
        <f>1Önk!D24</f>
        <v>0</v>
      </c>
      <c r="D7" s="545">
        <f>1Önk!E24</f>
        <v>0</v>
      </c>
      <c r="E7" s="545">
        <f>1Önk!F24</f>
        <v>0</v>
      </c>
      <c r="F7" s="545">
        <f>1Önk!G24</f>
        <v>15940</v>
      </c>
      <c r="G7" s="232" t="s">
        <v>180</v>
      </c>
      <c r="H7" s="545">
        <f>1Önk!C78</f>
        <v>3209</v>
      </c>
      <c r="I7" s="545">
        <f>1Önk!D78</f>
        <v>2450</v>
      </c>
      <c r="J7" s="545">
        <f>1Önk!E78</f>
        <v>2450</v>
      </c>
      <c r="K7" s="545">
        <f>1Önk!F78</f>
        <v>366</v>
      </c>
      <c r="L7" s="564">
        <f>1Önk!G78</f>
        <v>392</v>
      </c>
    </row>
    <row r="8" spans="1:12" ht="29.25" customHeight="1">
      <c r="A8" s="734" t="s">
        <v>139</v>
      </c>
      <c r="B8" s="546">
        <f>1Önk!C31+1Önk!C32</f>
        <v>31553</v>
      </c>
      <c r="C8" s="546">
        <f>1Önk!D31+1Önk!D32</f>
        <v>0</v>
      </c>
      <c r="D8" s="546">
        <f>1Önk!E31+1Önk!E32</f>
        <v>0</v>
      </c>
      <c r="E8" s="546">
        <f>1Önk!F31+1Önk!F32</f>
        <v>10796</v>
      </c>
      <c r="F8" s="546">
        <f>1Önk!G31+1Önk!G32</f>
        <v>2000</v>
      </c>
      <c r="G8" s="232" t="s">
        <v>181</v>
      </c>
      <c r="H8" s="545">
        <f>1Önk!C79</f>
        <v>58323</v>
      </c>
      <c r="I8" s="545">
        <f>1Önk!D79</f>
        <v>71358</v>
      </c>
      <c r="J8" s="545">
        <f>1Önk!E79</f>
        <v>71358</v>
      </c>
      <c r="K8" s="545">
        <f>1Önk!F79</f>
        <v>64241</v>
      </c>
      <c r="L8" s="564">
        <f>1Önk!G79</f>
        <v>48217</v>
      </c>
    </row>
    <row r="9" spans="1:12" ht="24" customHeight="1">
      <c r="A9" s="735" t="s">
        <v>217</v>
      </c>
      <c r="B9" s="546">
        <f>1Önk!C40+1Önk!C38</f>
        <v>284538</v>
      </c>
      <c r="C9" s="546">
        <f>1Önk!D40+1Önk!D38</f>
        <v>386790</v>
      </c>
      <c r="D9" s="546">
        <f>1Önk!E40+1Önk!E38</f>
        <v>386790</v>
      </c>
      <c r="E9" s="546">
        <f>1Önk!F40+1Önk!F38</f>
        <v>1362481</v>
      </c>
      <c r="F9" s="546">
        <f>1Önk!G40+1Önk!G38</f>
        <v>318380</v>
      </c>
      <c r="G9" s="87" t="s">
        <v>176</v>
      </c>
      <c r="H9" s="546">
        <f>1Önk!C87</f>
        <v>54453</v>
      </c>
      <c r="I9" s="546">
        <f>1Önk!D87</f>
        <v>79548</v>
      </c>
      <c r="J9" s="546">
        <f>1Önk!E87</f>
        <v>79548</v>
      </c>
      <c r="K9" s="546">
        <f>1Önk!F87</f>
        <v>779929</v>
      </c>
      <c r="L9" s="565">
        <f>1Önk!G87</f>
        <v>0</v>
      </c>
    </row>
    <row r="10" spans="1:12" ht="15.75" customHeight="1">
      <c r="A10" s="87"/>
      <c r="B10" s="228"/>
      <c r="C10" s="228"/>
      <c r="D10" s="45"/>
      <c r="E10" s="45"/>
      <c r="F10" s="86"/>
      <c r="G10" s="87"/>
      <c r="H10" s="228"/>
      <c r="I10" s="228"/>
      <c r="J10" s="45"/>
      <c r="K10" s="45"/>
      <c r="L10" s="44"/>
    </row>
    <row r="11" spans="1:12" ht="27.75" customHeight="1">
      <c r="A11" s="87"/>
      <c r="B11" s="228"/>
      <c r="C11" s="228"/>
      <c r="D11" s="45"/>
      <c r="E11" s="45"/>
      <c r="F11" s="86"/>
      <c r="G11" s="87"/>
      <c r="H11" s="228"/>
      <c r="I11" s="228"/>
      <c r="J11" s="45"/>
      <c r="K11" s="45"/>
      <c r="L11" s="44"/>
    </row>
    <row r="12" spans="1:12" ht="15.75" customHeight="1">
      <c r="A12" s="87"/>
      <c r="B12" s="228"/>
      <c r="C12" s="228"/>
      <c r="D12" s="45"/>
      <c r="E12" s="45"/>
      <c r="F12" s="45"/>
      <c r="G12" s="87"/>
      <c r="H12" s="228"/>
      <c r="I12" s="228"/>
      <c r="J12" s="45"/>
      <c r="K12" s="45"/>
      <c r="L12" s="44"/>
    </row>
    <row r="13" spans="1:12" ht="15.75" customHeight="1">
      <c r="A13" s="87"/>
      <c r="B13" s="228"/>
      <c r="C13" s="228"/>
      <c r="D13" s="45"/>
      <c r="E13" s="45"/>
      <c r="F13" s="45"/>
      <c r="G13" s="87"/>
      <c r="H13" s="228"/>
      <c r="I13" s="228"/>
      <c r="J13" s="45"/>
      <c r="K13" s="45"/>
      <c r="L13" s="44"/>
    </row>
    <row r="14" spans="1:12" ht="15.75" customHeight="1" thickBot="1">
      <c r="A14" s="87"/>
      <c r="B14" s="228"/>
      <c r="C14" s="228"/>
      <c r="D14" s="45"/>
      <c r="E14" s="45"/>
      <c r="F14" s="45"/>
      <c r="G14" s="87"/>
      <c r="H14" s="228"/>
      <c r="I14" s="228"/>
      <c r="J14" s="45"/>
      <c r="K14" s="45"/>
      <c r="L14" s="44"/>
    </row>
    <row r="15" spans="1:12" ht="18" customHeight="1" thickBot="1">
      <c r="A15" s="57" t="s">
        <v>51</v>
      </c>
      <c r="B15" s="89">
        <f>SUM(B5:B14)</f>
        <v>360739</v>
      </c>
      <c r="C15" s="89">
        <f>SUM(C5:C14)</f>
        <v>427240</v>
      </c>
      <c r="D15" s="89">
        <f>SUM(D5:D14)</f>
        <v>427240</v>
      </c>
      <c r="E15" s="89">
        <f>SUM(E5:E14)</f>
        <v>1373517</v>
      </c>
      <c r="F15" s="89">
        <f>SUM(F5:F14)</f>
        <v>366770</v>
      </c>
      <c r="G15" s="57" t="s">
        <v>51</v>
      </c>
      <c r="H15" s="89">
        <f>SUM(H5:H14)</f>
        <v>422792</v>
      </c>
      <c r="I15" s="89">
        <f>SUM(I5:I14)</f>
        <v>512850</v>
      </c>
      <c r="J15" s="89">
        <f>SUM(J5:J14)</f>
        <v>512850</v>
      </c>
      <c r="K15" s="89">
        <f>SUM(K5:K14)</f>
        <v>1169512</v>
      </c>
      <c r="L15" s="90">
        <f>SUM(L5:L14)</f>
        <v>323674</v>
      </c>
    </row>
    <row r="16" spans="1:12" ht="18" customHeight="1" thickBot="1">
      <c r="A16" s="58" t="s">
        <v>510</v>
      </c>
      <c r="B16" s="230"/>
      <c r="C16" s="230"/>
      <c r="D16" s="230"/>
      <c r="E16" s="230">
        <f>E15-K15</f>
        <v>204005</v>
      </c>
      <c r="F16" s="230">
        <f>F15-L15</f>
        <v>43096</v>
      </c>
      <c r="G16" s="58" t="s">
        <v>511</v>
      </c>
      <c r="H16" s="229">
        <f>H15-B15</f>
        <v>62053</v>
      </c>
      <c r="I16" s="229">
        <f>I15-C15</f>
        <v>85610</v>
      </c>
      <c r="J16" s="181">
        <f>J15-D15</f>
        <v>85610</v>
      </c>
      <c r="K16" s="181"/>
      <c r="L16" s="182"/>
    </row>
  </sheetData>
  <sheetProtection sheet="1" objects="1" scenarios="1"/>
  <printOptions horizontalCentered="1"/>
  <pageMargins left="0.1968503937007874" right="0.1968503937007874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B43">
      <selection activeCell="J58" sqref="J58"/>
    </sheetView>
  </sheetViews>
  <sheetFormatPr defaultColWidth="9.00390625" defaultRowHeight="12.75"/>
  <cols>
    <col min="1" max="1" width="7.00390625" style="61" customWidth="1"/>
    <col min="2" max="2" width="43.50390625" style="61" customWidth="1"/>
    <col min="3" max="3" width="11.50390625" style="61" customWidth="1"/>
    <col min="4" max="4" width="10.875" style="61" customWidth="1"/>
    <col min="5" max="5" width="9.875" style="61" customWidth="1"/>
    <col min="6" max="6" width="10.125" style="61" customWidth="1"/>
    <col min="7" max="7" width="11.00390625" style="61" customWidth="1"/>
    <col min="8" max="16384" width="9.375" style="61" customWidth="1"/>
  </cols>
  <sheetData>
    <row r="1" spans="1:7" ht="16.5" thickBot="1">
      <c r="A1" s="7"/>
      <c r="B1" s="7"/>
      <c r="C1" s="7"/>
      <c r="D1" s="907"/>
      <c r="E1" s="907"/>
      <c r="F1" s="907" t="s">
        <v>37</v>
      </c>
      <c r="G1" s="907"/>
    </row>
    <row r="2" spans="1:7" ht="48.75" thickBot="1">
      <c r="A2" s="42" t="s">
        <v>59</v>
      </c>
      <c r="B2" s="455" t="s">
        <v>2</v>
      </c>
      <c r="C2" s="587" t="s">
        <v>151</v>
      </c>
      <c r="D2" s="444" t="s">
        <v>136</v>
      </c>
      <c r="E2" s="62" t="s">
        <v>357</v>
      </c>
      <c r="F2" s="43" t="s">
        <v>329</v>
      </c>
      <c r="G2" s="62" t="s">
        <v>153</v>
      </c>
    </row>
    <row r="3" spans="1:7" ht="16.5" thickBot="1">
      <c r="A3" s="52">
        <v>1</v>
      </c>
      <c r="B3" s="456">
        <v>2</v>
      </c>
      <c r="C3" s="781">
        <v>3</v>
      </c>
      <c r="D3" s="781">
        <v>4</v>
      </c>
      <c r="E3" s="781">
        <v>5</v>
      </c>
      <c r="F3" s="781">
        <v>6</v>
      </c>
      <c r="G3" s="781">
        <v>7</v>
      </c>
    </row>
    <row r="4" spans="1:7" ht="16.5" thickBot="1">
      <c r="A4" s="35" t="s">
        <v>3</v>
      </c>
      <c r="B4" s="567" t="s">
        <v>114</v>
      </c>
      <c r="C4" s="506">
        <f>C5+C6</f>
        <v>625787</v>
      </c>
      <c r="D4" s="506">
        <f>D5+D6</f>
        <v>693940</v>
      </c>
      <c r="E4" s="506">
        <f>E5+E6</f>
        <v>704422</v>
      </c>
      <c r="F4" s="506">
        <f>F5+F6</f>
        <v>520903</v>
      </c>
      <c r="G4" s="506">
        <f>G5+G6</f>
        <v>544355</v>
      </c>
    </row>
    <row r="5" spans="1:7" ht="16.5" thickBot="1">
      <c r="A5" s="32" t="s">
        <v>4</v>
      </c>
      <c r="B5" s="541" t="s">
        <v>141</v>
      </c>
      <c r="C5" s="783">
        <f>2+6156+3535+1785+25286+663+370+10908+770+469+1977+7318+10+3921</f>
        <v>63170</v>
      </c>
      <c r="D5" s="783">
        <v>69334</v>
      </c>
      <c r="E5" s="783">
        <v>69335</v>
      </c>
      <c r="F5" s="783">
        <v>51506</v>
      </c>
      <c r="G5" s="783">
        <v>42783</v>
      </c>
    </row>
    <row r="6" spans="1:7" ht="16.5" thickBot="1">
      <c r="A6" s="32" t="s">
        <v>5</v>
      </c>
      <c r="B6" s="541" t="s">
        <v>154</v>
      </c>
      <c r="C6" s="506">
        <f>SUM(C7:C12)</f>
        <v>562617</v>
      </c>
      <c r="D6" s="506">
        <f>SUM(D7:D12)</f>
        <v>624606</v>
      </c>
      <c r="E6" s="506">
        <f>SUM(E7:E12)</f>
        <v>635087</v>
      </c>
      <c r="F6" s="506">
        <f>SUM(F7:F12)</f>
        <v>469397</v>
      </c>
      <c r="G6" s="506">
        <f>SUM(G7:G12)</f>
        <v>501572</v>
      </c>
    </row>
    <row r="7" spans="1:7" ht="15.75">
      <c r="A7" s="20" t="s">
        <v>96</v>
      </c>
      <c r="B7" s="540" t="s">
        <v>155</v>
      </c>
      <c r="C7" s="577">
        <v>18830</v>
      </c>
      <c r="D7" s="498">
        <v>18000</v>
      </c>
      <c r="E7" s="188">
        <v>18000</v>
      </c>
      <c r="F7" s="26">
        <v>19045</v>
      </c>
      <c r="G7" s="463">
        <v>20000</v>
      </c>
    </row>
    <row r="8" spans="1:7" ht="15.75">
      <c r="A8" s="21" t="s">
        <v>97</v>
      </c>
      <c r="B8" s="568" t="s">
        <v>308</v>
      </c>
      <c r="C8" s="578">
        <v>218115</v>
      </c>
      <c r="D8" s="196">
        <v>240000</v>
      </c>
      <c r="E8" s="488">
        <v>240000</v>
      </c>
      <c r="F8" s="27">
        <v>170252</v>
      </c>
      <c r="G8" s="462">
        <v>210000</v>
      </c>
    </row>
    <row r="9" spans="1:9" ht="15.75">
      <c r="A9" s="21" t="s">
        <v>98</v>
      </c>
      <c r="B9" s="568" t="s">
        <v>157</v>
      </c>
      <c r="C9" s="578">
        <f>729+5010+3734</f>
        <v>9473</v>
      </c>
      <c r="D9" s="196">
        <v>8000</v>
      </c>
      <c r="E9" s="488">
        <v>8000</v>
      </c>
      <c r="F9" s="27">
        <v>4335</v>
      </c>
      <c r="G9" s="462">
        <v>6200</v>
      </c>
      <c r="I9" s="200"/>
    </row>
    <row r="10" spans="1:7" ht="15.75">
      <c r="A10" s="21" t="s">
        <v>99</v>
      </c>
      <c r="B10" s="568" t="s">
        <v>158</v>
      </c>
      <c r="C10" s="578">
        <v>61110</v>
      </c>
      <c r="D10" s="196">
        <v>83000</v>
      </c>
      <c r="E10" s="488">
        <v>83000</v>
      </c>
      <c r="F10" s="27">
        <v>61242</v>
      </c>
      <c r="G10" s="462">
        <v>70000</v>
      </c>
    </row>
    <row r="11" spans="1:7" ht="15.75">
      <c r="A11" s="21" t="s">
        <v>160</v>
      </c>
      <c r="B11" s="568" t="s">
        <v>159</v>
      </c>
      <c r="C11" s="578">
        <f>74529+70925+76125</f>
        <v>221579</v>
      </c>
      <c r="D11" s="196">
        <v>241306</v>
      </c>
      <c r="E11" s="488">
        <v>251787</v>
      </c>
      <c r="F11" s="27">
        <v>194798</v>
      </c>
      <c r="G11" s="462">
        <v>192472</v>
      </c>
    </row>
    <row r="12" spans="1:7" ht="16.5" thickBot="1">
      <c r="A12" s="22" t="s">
        <v>161</v>
      </c>
      <c r="B12" s="569" t="s">
        <v>143</v>
      </c>
      <c r="C12" s="579">
        <f>1071+1008+31431</f>
        <v>33510</v>
      </c>
      <c r="D12" s="499">
        <v>34300</v>
      </c>
      <c r="E12" s="489">
        <v>34300</v>
      </c>
      <c r="F12" s="28">
        <v>19725</v>
      </c>
      <c r="G12" s="482">
        <v>2900</v>
      </c>
    </row>
    <row r="13" spans="1:7" ht="16.5" thickBot="1">
      <c r="A13" s="32" t="s">
        <v>6</v>
      </c>
      <c r="B13" s="541" t="s">
        <v>360</v>
      </c>
      <c r="C13" s="576">
        <f>SUM(C14:C19)</f>
        <v>358721</v>
      </c>
      <c r="D13" s="497">
        <f>D14+D15+D16+D17+D19</f>
        <v>262504</v>
      </c>
      <c r="E13" s="487">
        <f>E14+E15+E16+E17+E19</f>
        <v>283442</v>
      </c>
      <c r="F13" s="66">
        <f>F14+F15+F16+F17+F19+F18</f>
        <v>234663</v>
      </c>
      <c r="G13" s="481">
        <f>SUM(G14:G19)</f>
        <v>329166</v>
      </c>
    </row>
    <row r="14" spans="1:7" ht="15.75">
      <c r="A14" s="23" t="s">
        <v>100</v>
      </c>
      <c r="B14" s="570" t="s">
        <v>163</v>
      </c>
      <c r="C14" s="580">
        <v>10985</v>
      </c>
      <c r="D14" s="500">
        <v>4105</v>
      </c>
      <c r="E14" s="490">
        <v>4105</v>
      </c>
      <c r="F14" s="29">
        <v>3799</v>
      </c>
      <c r="G14" s="464">
        <v>28599</v>
      </c>
    </row>
    <row r="15" spans="1:7" ht="15.75">
      <c r="A15" s="21" t="s">
        <v>101</v>
      </c>
      <c r="B15" s="568" t="s">
        <v>164</v>
      </c>
      <c r="C15" s="578">
        <v>257577</v>
      </c>
      <c r="D15" s="196">
        <v>255178</v>
      </c>
      <c r="E15" s="488">
        <v>254986</v>
      </c>
      <c r="F15" s="27">
        <v>198672</v>
      </c>
      <c r="G15" s="462">
        <v>250362</v>
      </c>
    </row>
    <row r="16" spans="1:7" ht="15.75">
      <c r="A16" s="21" t="s">
        <v>102</v>
      </c>
      <c r="B16" s="568" t="s">
        <v>110</v>
      </c>
      <c r="C16" s="578">
        <v>1053</v>
      </c>
      <c r="D16" s="196">
        <v>1049</v>
      </c>
      <c r="E16" s="488">
        <v>1049</v>
      </c>
      <c r="F16" s="27">
        <v>588</v>
      </c>
      <c r="G16" s="462">
        <v>1041</v>
      </c>
    </row>
    <row r="17" spans="1:7" ht="15.75">
      <c r="A17" s="24" t="s">
        <v>137</v>
      </c>
      <c r="B17" s="568" t="s">
        <v>165</v>
      </c>
      <c r="C17" s="581">
        <v>28770</v>
      </c>
      <c r="D17" s="501">
        <v>2172</v>
      </c>
      <c r="E17" s="491">
        <v>6993</v>
      </c>
      <c r="F17" s="30">
        <v>16876</v>
      </c>
      <c r="G17" s="465">
        <v>49164</v>
      </c>
    </row>
    <row r="18" spans="1:7" ht="15.75">
      <c r="A18" s="24" t="s">
        <v>512</v>
      </c>
      <c r="B18" s="568" t="s">
        <v>166</v>
      </c>
      <c r="C18" s="581">
        <v>7609</v>
      </c>
      <c r="D18" s="501"/>
      <c r="E18" s="491"/>
      <c r="F18" s="30">
        <v>14728</v>
      </c>
      <c r="G18" s="465"/>
    </row>
    <row r="19" spans="1:7" ht="25.5" customHeight="1" thickBot="1">
      <c r="A19" s="24" t="s">
        <v>513</v>
      </c>
      <c r="B19" s="568" t="s">
        <v>309</v>
      </c>
      <c r="C19" s="581">
        <f>45828+6787+112</f>
        <v>52727</v>
      </c>
      <c r="D19" s="501"/>
      <c r="E19" s="491">
        <v>16309</v>
      </c>
      <c r="F19" s="30"/>
      <c r="G19" s="465"/>
    </row>
    <row r="20" spans="1:7" ht="13.5" customHeight="1" thickBot="1">
      <c r="A20" s="32" t="s">
        <v>7</v>
      </c>
      <c r="B20" s="541" t="s">
        <v>359</v>
      </c>
      <c r="C20" s="576">
        <f>SUM(C21:C23)</f>
        <v>44648</v>
      </c>
      <c r="D20" s="497">
        <f>SUM(D21:D23)</f>
        <v>40450</v>
      </c>
      <c r="E20" s="487">
        <f>SUM(E21:E23)</f>
        <v>40450</v>
      </c>
      <c r="F20" s="66">
        <f>SUM(F21:F23)</f>
        <v>240</v>
      </c>
      <c r="G20" s="481">
        <f>SUM(G21:G23)</f>
        <v>46390</v>
      </c>
    </row>
    <row r="21" spans="1:7" ht="15.75">
      <c r="A21" s="23" t="s">
        <v>103</v>
      </c>
      <c r="B21" s="570" t="s">
        <v>81</v>
      </c>
      <c r="C21" s="580">
        <f>8062+2835+17550</f>
        <v>28447</v>
      </c>
      <c r="D21" s="500">
        <v>40000</v>
      </c>
      <c r="E21" s="490">
        <v>40000</v>
      </c>
      <c r="F21" s="29">
        <v>0</v>
      </c>
      <c r="G21" s="464">
        <v>30000</v>
      </c>
    </row>
    <row r="22" spans="1:7" ht="15.75">
      <c r="A22" s="20" t="s">
        <v>104</v>
      </c>
      <c r="B22" s="568" t="s">
        <v>162</v>
      </c>
      <c r="C22" s="577">
        <v>420</v>
      </c>
      <c r="D22" s="498">
        <v>450</v>
      </c>
      <c r="E22" s="188">
        <v>450</v>
      </c>
      <c r="F22" s="26">
        <v>240</v>
      </c>
      <c r="G22" s="463">
        <v>450</v>
      </c>
    </row>
    <row r="23" spans="1:7" ht="16.5" thickBot="1">
      <c r="A23" s="24" t="s">
        <v>105</v>
      </c>
      <c r="B23" s="14" t="s">
        <v>82</v>
      </c>
      <c r="C23" s="581">
        <v>15781</v>
      </c>
      <c r="D23" s="502">
        <v>0</v>
      </c>
      <c r="E23" s="491"/>
      <c r="F23" s="30"/>
      <c r="G23" s="465">
        <v>15940</v>
      </c>
    </row>
    <row r="24" spans="1:7" ht="14.25" customHeight="1" thickBot="1">
      <c r="A24" s="32" t="s">
        <v>8</v>
      </c>
      <c r="B24" s="541" t="s">
        <v>361</v>
      </c>
      <c r="C24" s="576">
        <f>SUM(C25:C32)</f>
        <v>64617</v>
      </c>
      <c r="D24" s="497">
        <f>SUM(D25:D32)</f>
        <v>33092</v>
      </c>
      <c r="E24" s="479">
        <f>SUM(E25:E32)</f>
        <v>38302</v>
      </c>
      <c r="F24" s="479">
        <f>SUM(F25:F32)</f>
        <v>37230</v>
      </c>
      <c r="G24" s="506">
        <f>SUM(G25:G32)</f>
        <v>36324</v>
      </c>
    </row>
    <row r="25" spans="1:7" ht="15.75">
      <c r="A25" s="21" t="s">
        <v>514</v>
      </c>
      <c r="B25" s="571" t="s">
        <v>111</v>
      </c>
      <c r="C25" s="582">
        <v>18188</v>
      </c>
      <c r="D25" s="199">
        <v>17892</v>
      </c>
      <c r="E25" s="492">
        <v>17892</v>
      </c>
      <c r="F25" s="59">
        <v>16386</v>
      </c>
      <c r="G25" s="467">
        <v>16500</v>
      </c>
    </row>
    <row r="26" spans="1:7" ht="15.75">
      <c r="A26" s="21" t="s">
        <v>515</v>
      </c>
      <c r="B26" s="571" t="s">
        <v>39</v>
      </c>
      <c r="C26" s="582">
        <v>2110</v>
      </c>
      <c r="D26" s="199">
        <v>700</v>
      </c>
      <c r="E26" s="492">
        <v>2133</v>
      </c>
      <c r="F26" s="59">
        <v>1433</v>
      </c>
      <c r="G26" s="467"/>
    </row>
    <row r="27" spans="1:7" ht="22.5">
      <c r="A27" s="21" t="s">
        <v>516</v>
      </c>
      <c r="B27" s="571" t="s">
        <v>112</v>
      </c>
      <c r="C27" s="582">
        <v>7857</v>
      </c>
      <c r="D27" s="199"/>
      <c r="E27" s="492">
        <v>3777</v>
      </c>
      <c r="F27" s="59">
        <v>4620</v>
      </c>
      <c r="G27" s="467"/>
    </row>
    <row r="28" spans="1:7" ht="15.75">
      <c r="A28" s="24" t="s">
        <v>517</v>
      </c>
      <c r="B28" s="572" t="s">
        <v>132</v>
      </c>
      <c r="C28" s="583">
        <v>4909</v>
      </c>
      <c r="D28" s="503">
        <v>4500</v>
      </c>
      <c r="E28" s="493">
        <v>4500</v>
      </c>
      <c r="F28" s="163">
        <v>3995</v>
      </c>
      <c r="G28" s="470">
        <v>7824</v>
      </c>
    </row>
    <row r="29" spans="1:7" ht="15.75">
      <c r="A29" s="24" t="s">
        <v>518</v>
      </c>
      <c r="B29" s="572" t="s">
        <v>167</v>
      </c>
      <c r="C29" s="583"/>
      <c r="D29" s="503">
        <v>10000</v>
      </c>
      <c r="E29" s="493">
        <v>10000</v>
      </c>
      <c r="F29" s="163"/>
      <c r="G29" s="470">
        <v>10000</v>
      </c>
    </row>
    <row r="30" spans="1:7" ht="15.75">
      <c r="A30" s="24" t="s">
        <v>519</v>
      </c>
      <c r="B30" s="572" t="s">
        <v>341</v>
      </c>
      <c r="C30" s="583">
        <v>30452</v>
      </c>
      <c r="D30" s="503"/>
      <c r="E30" s="493"/>
      <c r="F30" s="163">
        <v>10482</v>
      </c>
      <c r="G30" s="470"/>
    </row>
    <row r="31" spans="1:7" ht="15.75">
      <c r="A31" s="21" t="s">
        <v>520</v>
      </c>
      <c r="B31" s="571" t="s">
        <v>168</v>
      </c>
      <c r="C31" s="582">
        <v>1101</v>
      </c>
      <c r="D31" s="199"/>
      <c r="E31" s="492"/>
      <c r="F31" s="59">
        <v>314</v>
      </c>
      <c r="G31" s="467">
        <v>2000</v>
      </c>
    </row>
    <row r="32" spans="1:9" ht="16.5" thickBot="1">
      <c r="A32" s="24"/>
      <c r="B32" s="572"/>
      <c r="C32" s="583"/>
      <c r="D32" s="503"/>
      <c r="E32" s="493"/>
      <c r="F32" s="163"/>
      <c r="G32" s="470"/>
      <c r="I32" s="200"/>
    </row>
    <row r="33" spans="1:7" ht="16.5" thickBot="1">
      <c r="A33" s="32" t="s">
        <v>9</v>
      </c>
      <c r="B33" s="541" t="s">
        <v>169</v>
      </c>
      <c r="C33" s="584">
        <f>C34</f>
        <v>9665</v>
      </c>
      <c r="D33" s="507">
        <f>D34</f>
        <v>0</v>
      </c>
      <c r="E33" s="508">
        <f>E34</f>
        <v>0</v>
      </c>
      <c r="F33" s="509">
        <f>F34</f>
        <v>6177</v>
      </c>
      <c r="G33" s="483">
        <f>G34</f>
        <v>0</v>
      </c>
    </row>
    <row r="34" spans="1:7" ht="16.5" thickBot="1">
      <c r="A34" s="25" t="s">
        <v>113</v>
      </c>
      <c r="B34" s="573" t="s">
        <v>170</v>
      </c>
      <c r="C34" s="585">
        <v>9665</v>
      </c>
      <c r="D34" s="504"/>
      <c r="E34" s="494"/>
      <c r="F34" s="31">
        <v>6177</v>
      </c>
      <c r="G34" s="484"/>
    </row>
    <row r="35" spans="1:7" ht="16.5" thickBot="1">
      <c r="A35" s="32" t="s">
        <v>10</v>
      </c>
      <c r="B35" s="541" t="s">
        <v>115</v>
      </c>
      <c r="C35" s="576">
        <f>SUM(C36:C38)</f>
        <v>284538</v>
      </c>
      <c r="D35" s="497">
        <f>SUM(D36:D38)</f>
        <v>403290</v>
      </c>
      <c r="E35" s="487">
        <f>SUM(E36:E38)</f>
        <v>403290</v>
      </c>
      <c r="F35" s="66">
        <f>SUM(F36:F38)</f>
        <v>1378981</v>
      </c>
      <c r="G35" s="481">
        <f>SUM(G36:G38)</f>
        <v>318380</v>
      </c>
    </row>
    <row r="36" spans="1:9" ht="15.75">
      <c r="A36" s="23" t="s">
        <v>108</v>
      </c>
      <c r="B36" s="570" t="s">
        <v>80</v>
      </c>
      <c r="C36" s="580">
        <f>274038+10500</f>
        <v>284538</v>
      </c>
      <c r="D36" s="500">
        <f>35640+351150</f>
        <v>386790</v>
      </c>
      <c r="E36" s="490">
        <f>35640+351150</f>
        <v>386790</v>
      </c>
      <c r="F36" s="29">
        <v>379695</v>
      </c>
      <c r="G36" s="464"/>
      <c r="I36" s="200"/>
    </row>
    <row r="37" spans="1:7" ht="15.75">
      <c r="A37" s="23" t="s">
        <v>521</v>
      </c>
      <c r="B37" s="570" t="s">
        <v>340</v>
      </c>
      <c r="C37" s="580"/>
      <c r="D37" s="500">
        <v>16500</v>
      </c>
      <c r="E37" s="490">
        <v>16500</v>
      </c>
      <c r="F37" s="29">
        <v>16500</v>
      </c>
      <c r="G37" s="464">
        <v>0</v>
      </c>
    </row>
    <row r="38" spans="1:7" ht="16.5" thickBot="1">
      <c r="A38" s="21" t="s">
        <v>522</v>
      </c>
      <c r="B38" s="568" t="s">
        <v>171</v>
      </c>
      <c r="C38" s="578"/>
      <c r="D38" s="196"/>
      <c r="E38" s="488"/>
      <c r="F38" s="27">
        <v>982786</v>
      </c>
      <c r="G38" s="462">
        <f>284660+35720-2000</f>
        <v>318380</v>
      </c>
    </row>
    <row r="39" spans="1:7" ht="23.25" thickBot="1">
      <c r="A39" s="32" t="s">
        <v>11</v>
      </c>
      <c r="B39" s="539" t="s">
        <v>116</v>
      </c>
      <c r="C39" s="586">
        <f>C4+C13+C20+C24+C33+C35</f>
        <v>1387976</v>
      </c>
      <c r="D39" s="505">
        <f>D4+D13+D20+D24+D33+D35</f>
        <v>1433276</v>
      </c>
      <c r="E39" s="495">
        <f>E4+E13+E20+E24+E33+E35</f>
        <v>1469906</v>
      </c>
      <c r="F39" s="70">
        <f>F4+F13+F20+F24+F33+F35</f>
        <v>2178194</v>
      </c>
      <c r="G39" s="485">
        <f>G4+G13+G20+G24+G33+G35</f>
        <v>1274615</v>
      </c>
    </row>
    <row r="40" spans="1:7" ht="16.5" thickBot="1">
      <c r="A40" s="713" t="s">
        <v>12</v>
      </c>
      <c r="B40" s="736" t="s">
        <v>310</v>
      </c>
      <c r="C40" s="737">
        <f>39+4494</f>
        <v>4533</v>
      </c>
      <c r="D40" s="738"/>
      <c r="E40" s="739"/>
      <c r="F40" s="740">
        <v>273</v>
      </c>
      <c r="G40" s="741"/>
    </row>
    <row r="41" spans="1:7" ht="16.5" thickBot="1">
      <c r="A41" s="32" t="s">
        <v>13</v>
      </c>
      <c r="B41" s="541" t="s">
        <v>83</v>
      </c>
      <c r="C41" s="575">
        <v>30786</v>
      </c>
      <c r="D41" s="496">
        <v>242292</v>
      </c>
      <c r="E41" s="486">
        <v>242292</v>
      </c>
      <c r="F41" s="34">
        <v>0</v>
      </c>
      <c r="G41" s="480">
        <v>195465</v>
      </c>
    </row>
    <row r="42" spans="1:7" ht="16.5" thickBot="1">
      <c r="A42" s="32">
        <v>12</v>
      </c>
      <c r="B42" s="541" t="s">
        <v>311</v>
      </c>
      <c r="C42" s="575">
        <f>331-34931-12+28535+202</f>
        <v>-5875</v>
      </c>
      <c r="D42" s="496"/>
      <c r="E42" s="486"/>
      <c r="F42" s="34">
        <v>56642</v>
      </c>
      <c r="G42" s="480"/>
    </row>
    <row r="43" spans="1:7" ht="16.5" thickBot="1">
      <c r="A43" s="32">
        <v>13</v>
      </c>
      <c r="B43" s="574" t="s">
        <v>117</v>
      </c>
      <c r="C43" s="576">
        <f>C39+C40+C41+C42</f>
        <v>1417420</v>
      </c>
      <c r="D43" s="497">
        <f>D39+D40+D41</f>
        <v>1675568</v>
      </c>
      <c r="E43" s="487">
        <f>E39+E40+E41</f>
        <v>1712198</v>
      </c>
      <c r="F43" s="66">
        <f>F39+F40+F41+F42</f>
        <v>2235109</v>
      </c>
      <c r="G43" s="481">
        <f>G39+G40+G41</f>
        <v>1470080</v>
      </c>
    </row>
    <row r="44" spans="1:7" ht="15.75" customHeight="1">
      <c r="A44" s="5"/>
      <c r="B44" s="6"/>
      <c r="C44" s="1"/>
      <c r="D44" s="1"/>
      <c r="E44" s="1"/>
      <c r="F44" s="2"/>
      <c r="G44" s="2"/>
    </row>
    <row r="45" spans="1:7" ht="16.5" thickBot="1">
      <c r="A45" s="7"/>
      <c r="B45" s="7"/>
      <c r="C45" s="7"/>
      <c r="D45" s="907"/>
      <c r="E45" s="907"/>
      <c r="F45" s="907" t="s">
        <v>37</v>
      </c>
      <c r="G45" s="907"/>
    </row>
    <row r="46" spans="1:7" ht="57.75" customHeight="1" thickBot="1">
      <c r="A46" s="42" t="s">
        <v>1</v>
      </c>
      <c r="B46" s="43" t="s">
        <v>30</v>
      </c>
      <c r="C46" s="62" t="s">
        <v>151</v>
      </c>
      <c r="D46" s="444" t="s">
        <v>136</v>
      </c>
      <c r="E46" s="455" t="s">
        <v>357</v>
      </c>
      <c r="F46" s="62" t="s">
        <v>329</v>
      </c>
      <c r="G46" s="459" t="s">
        <v>153</v>
      </c>
    </row>
    <row r="47" spans="1:7" ht="16.5" thickBot="1">
      <c r="A47" s="52">
        <v>1</v>
      </c>
      <c r="B47" s="53">
        <v>2</v>
      </c>
      <c r="C47" s="54">
        <v>3</v>
      </c>
      <c r="D47" s="445">
        <v>4</v>
      </c>
      <c r="E47" s="456">
        <v>5</v>
      </c>
      <c r="F47" s="54">
        <v>6</v>
      </c>
      <c r="G47" s="460">
        <v>7</v>
      </c>
    </row>
    <row r="48" spans="1:7" ht="16.5" thickBot="1">
      <c r="A48" s="35" t="s">
        <v>3</v>
      </c>
      <c r="B48" s="49" t="s">
        <v>135</v>
      </c>
      <c r="C48" s="72">
        <f>SUM(C49:C70)</f>
        <v>1005956</v>
      </c>
      <c r="D48" s="446">
        <f>SUM(D49:D70)</f>
        <v>1048700</v>
      </c>
      <c r="E48" s="457">
        <f>SUM(E49:E70)</f>
        <v>1085330</v>
      </c>
      <c r="F48" s="72">
        <f>SUM(F49:F70)</f>
        <v>937862</v>
      </c>
      <c r="G48" s="461">
        <f>SUM(G49:G70)</f>
        <v>1138406</v>
      </c>
    </row>
    <row r="49" spans="1:7" ht="15.75">
      <c r="A49" s="25" t="s">
        <v>118</v>
      </c>
      <c r="B49" s="16" t="s">
        <v>31</v>
      </c>
      <c r="C49" s="454">
        <v>226334</v>
      </c>
      <c r="D49" s="447">
        <v>240048</v>
      </c>
      <c r="E49" s="197">
        <v>245299</v>
      </c>
      <c r="F49" s="472">
        <v>219177</v>
      </c>
      <c r="G49" s="705">
        <v>246658</v>
      </c>
    </row>
    <row r="50" spans="1:7" ht="15.75">
      <c r="A50" s="23" t="s">
        <v>501</v>
      </c>
      <c r="B50" s="12" t="s">
        <v>172</v>
      </c>
      <c r="C50" s="13">
        <v>48393</v>
      </c>
      <c r="D50" s="448">
        <v>15630</v>
      </c>
      <c r="E50" s="194">
        <v>15630</v>
      </c>
      <c r="F50" s="440">
        <v>20205</v>
      </c>
      <c r="G50" s="706">
        <v>23980</v>
      </c>
    </row>
    <row r="51" spans="1:7" ht="15.75">
      <c r="A51" s="21" t="s">
        <v>502</v>
      </c>
      <c r="B51" s="9" t="s">
        <v>32</v>
      </c>
      <c r="C51" s="10">
        <v>96062</v>
      </c>
      <c r="D51" s="449">
        <v>90304</v>
      </c>
      <c r="E51" s="193">
        <v>92231</v>
      </c>
      <c r="F51" s="473">
        <v>78821</v>
      </c>
      <c r="G51" s="707">
        <v>89446</v>
      </c>
    </row>
    <row r="52" spans="1:7" ht="15.75">
      <c r="A52" s="21" t="s">
        <v>503</v>
      </c>
      <c r="B52" s="9" t="s">
        <v>173</v>
      </c>
      <c r="C52" s="15">
        <v>31579</v>
      </c>
      <c r="D52" s="450">
        <v>39796</v>
      </c>
      <c r="E52" s="198">
        <v>41592</v>
      </c>
      <c r="F52" s="59">
        <v>29508</v>
      </c>
      <c r="G52" s="467">
        <v>31670</v>
      </c>
    </row>
    <row r="53" spans="1:7" ht="15.75">
      <c r="A53" s="21" t="s">
        <v>134</v>
      </c>
      <c r="B53" s="18" t="s">
        <v>174</v>
      </c>
      <c r="C53" s="15">
        <v>99689</v>
      </c>
      <c r="D53" s="450">
        <v>106624</v>
      </c>
      <c r="E53" s="198">
        <v>106624</v>
      </c>
      <c r="F53" s="59">
        <v>76394</v>
      </c>
      <c r="G53" s="467">
        <v>89762</v>
      </c>
    </row>
    <row r="54" spans="1:7" ht="15.75">
      <c r="A54" s="21" t="s">
        <v>484</v>
      </c>
      <c r="B54" s="18" t="s">
        <v>175</v>
      </c>
      <c r="C54" s="15">
        <v>49141</v>
      </c>
      <c r="D54" s="450">
        <v>51839</v>
      </c>
      <c r="E54" s="198">
        <v>51928</v>
      </c>
      <c r="F54" s="440">
        <v>48397</v>
      </c>
      <c r="G54" s="706">
        <f>52669+900</f>
        <v>53569</v>
      </c>
    </row>
    <row r="55" spans="1:7" ht="15.75">
      <c r="A55" s="21" t="s">
        <v>485</v>
      </c>
      <c r="B55" s="18" t="s">
        <v>91</v>
      </c>
      <c r="C55" s="15">
        <v>24956</v>
      </c>
      <c r="D55" s="450">
        <v>34272</v>
      </c>
      <c r="E55" s="198">
        <v>34272</v>
      </c>
      <c r="F55" s="59">
        <v>57065</v>
      </c>
      <c r="G55" s="467">
        <v>62500</v>
      </c>
    </row>
    <row r="56" spans="1:7" ht="13.5" customHeight="1">
      <c r="A56" s="21" t="s">
        <v>486</v>
      </c>
      <c r="B56" s="9" t="s">
        <v>568</v>
      </c>
      <c r="C56" s="15">
        <f>72272+2009</f>
        <v>74281</v>
      </c>
      <c r="D56" s="450">
        <f>58006+2910</f>
        <v>60916</v>
      </c>
      <c r="E56" s="198">
        <f>74170+2910</f>
        <v>77080</v>
      </c>
      <c r="F56" s="59">
        <f>54431+2652</f>
        <v>57083</v>
      </c>
      <c r="G56" s="467">
        <v>52600</v>
      </c>
    </row>
    <row r="57" spans="1:7" ht="15.75">
      <c r="A57" s="21" t="s">
        <v>487</v>
      </c>
      <c r="B57" s="40" t="s">
        <v>182</v>
      </c>
      <c r="C57" s="15">
        <v>293224</v>
      </c>
      <c r="D57" s="450">
        <v>315647</v>
      </c>
      <c r="E57" s="198">
        <v>321345</v>
      </c>
      <c r="F57" s="474">
        <v>257955</v>
      </c>
      <c r="G57" s="708">
        <v>303535</v>
      </c>
    </row>
    <row r="58" spans="1:7" ht="15.75">
      <c r="A58" s="21" t="s">
        <v>488</v>
      </c>
      <c r="B58" s="40" t="s">
        <v>183</v>
      </c>
      <c r="C58" s="15">
        <v>8626</v>
      </c>
      <c r="D58" s="450"/>
      <c r="E58" s="198"/>
      <c r="F58" s="475">
        <v>7074</v>
      </c>
      <c r="G58" s="709">
        <v>0</v>
      </c>
    </row>
    <row r="59" spans="1:7" ht="15.75">
      <c r="A59" s="21" t="s">
        <v>489</v>
      </c>
      <c r="B59" s="40" t="s">
        <v>184</v>
      </c>
      <c r="C59" s="15">
        <v>18456</v>
      </c>
      <c r="D59" s="450">
        <v>16800</v>
      </c>
      <c r="E59" s="198">
        <v>16800</v>
      </c>
      <c r="F59" s="475">
        <v>14256</v>
      </c>
      <c r="G59" s="709">
        <v>24488</v>
      </c>
    </row>
    <row r="60" spans="1:7" ht="15.75">
      <c r="A60" s="21" t="s">
        <v>490</v>
      </c>
      <c r="B60" s="201" t="s">
        <v>185</v>
      </c>
      <c r="C60" s="15"/>
      <c r="D60" s="450"/>
      <c r="E60" s="198"/>
      <c r="F60" s="475"/>
      <c r="G60" s="709"/>
    </row>
    <row r="61" spans="1:7" ht="15.75">
      <c r="A61" s="21" t="s">
        <v>491</v>
      </c>
      <c r="B61" s="40" t="s">
        <v>186</v>
      </c>
      <c r="C61" s="15">
        <v>13311</v>
      </c>
      <c r="D61" s="450">
        <v>11000</v>
      </c>
      <c r="E61" s="198">
        <v>11000</v>
      </c>
      <c r="F61" s="475">
        <v>10353</v>
      </c>
      <c r="G61" s="709">
        <v>11000</v>
      </c>
    </row>
    <row r="62" spans="1:7" ht="15.75">
      <c r="A62" s="21" t="s">
        <v>492</v>
      </c>
      <c r="B62" s="40" t="s">
        <v>187</v>
      </c>
      <c r="C62" s="15">
        <v>16653</v>
      </c>
      <c r="D62" s="450">
        <v>18350</v>
      </c>
      <c r="E62" s="198">
        <v>20913</v>
      </c>
      <c r="F62" s="475">
        <v>15974</v>
      </c>
      <c r="G62" s="709">
        <v>23000</v>
      </c>
    </row>
    <row r="63" spans="1:7" ht="15.75">
      <c r="A63" s="21" t="s">
        <v>493</v>
      </c>
      <c r="B63" s="40" t="s">
        <v>353</v>
      </c>
      <c r="C63" s="15"/>
      <c r="D63" s="450"/>
      <c r="E63" s="198"/>
      <c r="F63" s="475"/>
      <c r="G63" s="709">
        <f>53000+22748</f>
        <v>75748</v>
      </c>
    </row>
    <row r="64" spans="1:7" ht="15.75">
      <c r="A64" s="21" t="s">
        <v>523</v>
      </c>
      <c r="B64" s="40" t="s">
        <v>188</v>
      </c>
      <c r="C64" s="15">
        <v>908</v>
      </c>
      <c r="D64" s="450">
        <v>1100</v>
      </c>
      <c r="E64" s="198">
        <v>1100</v>
      </c>
      <c r="F64" s="475">
        <v>691</v>
      </c>
      <c r="G64" s="709"/>
    </row>
    <row r="65" spans="1:7" ht="15.75">
      <c r="A65" s="21" t="s">
        <v>494</v>
      </c>
      <c r="B65" s="40" t="s">
        <v>483</v>
      </c>
      <c r="C65" s="15"/>
      <c r="D65" s="450">
        <v>7000</v>
      </c>
      <c r="E65" s="198">
        <v>7000</v>
      </c>
      <c r="F65" s="475">
        <v>11994</v>
      </c>
      <c r="G65" s="709">
        <v>11030</v>
      </c>
    </row>
    <row r="66" spans="1:7" ht="15.75">
      <c r="A66" s="21" t="s">
        <v>495</v>
      </c>
      <c r="B66" s="9" t="s">
        <v>190</v>
      </c>
      <c r="C66" s="15"/>
      <c r="D66" s="450">
        <v>1333</v>
      </c>
      <c r="E66" s="198">
        <v>1333</v>
      </c>
      <c r="F66" s="59">
        <v>1333</v>
      </c>
      <c r="G66" s="467">
        <v>1400</v>
      </c>
    </row>
    <row r="67" spans="1:7" ht="15.75">
      <c r="A67" s="21" t="s">
        <v>496</v>
      </c>
      <c r="B67" s="9" t="s">
        <v>191</v>
      </c>
      <c r="C67" s="15"/>
      <c r="D67" s="450">
        <v>451</v>
      </c>
      <c r="E67" s="198">
        <v>451</v>
      </c>
      <c r="F67" s="59">
        <v>451</v>
      </c>
      <c r="G67" s="467">
        <v>500</v>
      </c>
    </row>
    <row r="68" spans="1:7" ht="15.75">
      <c r="A68" s="20" t="s">
        <v>497</v>
      </c>
      <c r="B68" s="19" t="s">
        <v>192</v>
      </c>
      <c r="C68" s="15"/>
      <c r="D68" s="450">
        <v>150</v>
      </c>
      <c r="E68" s="198">
        <v>150</v>
      </c>
      <c r="F68" s="163"/>
      <c r="G68" s="470">
        <v>0</v>
      </c>
    </row>
    <row r="69" spans="1:7" ht="15.75">
      <c r="A69" s="21" t="s">
        <v>498</v>
      </c>
      <c r="B69" s="9" t="s">
        <v>193</v>
      </c>
      <c r="C69" s="10"/>
      <c r="D69" s="449">
        <v>35640</v>
      </c>
      <c r="E69" s="193">
        <v>35640</v>
      </c>
      <c r="F69" s="163">
        <v>26789</v>
      </c>
      <c r="G69" s="470">
        <v>35720</v>
      </c>
    </row>
    <row r="70" spans="1:7" ht="16.5" thickBot="1">
      <c r="A70" s="20" t="s">
        <v>499</v>
      </c>
      <c r="B70" s="8" t="s">
        <v>194</v>
      </c>
      <c r="C70" s="202">
        <v>4343</v>
      </c>
      <c r="D70" s="451">
        <v>1800</v>
      </c>
      <c r="E70" s="458">
        <v>4942</v>
      </c>
      <c r="F70" s="163">
        <v>4342</v>
      </c>
      <c r="G70" s="470">
        <v>1800</v>
      </c>
    </row>
    <row r="71" spans="1:7" ht="14.25" customHeight="1" thickBot="1">
      <c r="A71" s="32" t="s">
        <v>4</v>
      </c>
      <c r="B71" s="47" t="s">
        <v>362</v>
      </c>
      <c r="C71" s="74">
        <f>SUM(C72:C75)</f>
        <v>367756</v>
      </c>
      <c r="D71" s="452">
        <f>SUM(D72:D75)</f>
        <v>432302</v>
      </c>
      <c r="E71" s="442">
        <f>SUM(E72:E75)</f>
        <v>432302</v>
      </c>
      <c r="F71" s="74">
        <f>SUM(F72:F75)</f>
        <v>389583</v>
      </c>
      <c r="G71" s="466">
        <f>SUM(G72:G75)</f>
        <v>322674</v>
      </c>
    </row>
    <row r="72" spans="1:7" ht="15.75">
      <c r="A72" s="23" t="s">
        <v>122</v>
      </c>
      <c r="B72" s="12" t="s">
        <v>84</v>
      </c>
      <c r="C72" s="13">
        <v>12315</v>
      </c>
      <c r="D72" s="448">
        <v>13250</v>
      </c>
      <c r="E72" s="194">
        <v>13250</v>
      </c>
      <c r="F72" s="473">
        <v>1828</v>
      </c>
      <c r="G72" s="707">
        <v>1958</v>
      </c>
    </row>
    <row r="73" spans="1:7" ht="15.75">
      <c r="A73" s="23" t="s">
        <v>123</v>
      </c>
      <c r="B73" s="9" t="s">
        <v>179</v>
      </c>
      <c r="C73" s="10">
        <f>1347+3398+17433+268479+700+1390+332+927</f>
        <v>294006</v>
      </c>
      <c r="D73" s="449">
        <v>345544</v>
      </c>
      <c r="E73" s="193">
        <v>345544</v>
      </c>
      <c r="F73" s="59">
        <v>323148</v>
      </c>
      <c r="G73" s="467">
        <v>272407</v>
      </c>
    </row>
    <row r="74" spans="1:7" ht="15.75">
      <c r="A74" s="23" t="s">
        <v>124</v>
      </c>
      <c r="B74" s="9" t="s">
        <v>180</v>
      </c>
      <c r="C74" s="10">
        <v>3209</v>
      </c>
      <c r="D74" s="449">
        <v>2450</v>
      </c>
      <c r="E74" s="193">
        <v>2450</v>
      </c>
      <c r="F74" s="59">
        <v>366</v>
      </c>
      <c r="G74" s="467">
        <v>392</v>
      </c>
    </row>
    <row r="75" spans="1:7" ht="16.5" thickBot="1">
      <c r="A75" s="23" t="s">
        <v>125</v>
      </c>
      <c r="B75" s="9" t="s">
        <v>181</v>
      </c>
      <c r="C75" s="10">
        <v>58226</v>
      </c>
      <c r="D75" s="449">
        <v>71058</v>
      </c>
      <c r="E75" s="193">
        <v>71058</v>
      </c>
      <c r="F75" s="59">
        <v>64241</v>
      </c>
      <c r="G75" s="467">
        <v>47917</v>
      </c>
    </row>
    <row r="76" spans="1:7" ht="15" customHeight="1" thickBot="1">
      <c r="A76" s="32" t="s">
        <v>5</v>
      </c>
      <c r="B76" s="47" t="s">
        <v>150</v>
      </c>
      <c r="C76" s="74">
        <f>SUM(C77:C78)</f>
        <v>0</v>
      </c>
      <c r="D76" s="452">
        <f>SUM(D77:D78)</f>
        <v>9000</v>
      </c>
      <c r="E76" s="442">
        <f>SUM(E77:E78)</f>
        <v>9000</v>
      </c>
      <c r="F76" s="74">
        <f>SUM(F77:F78)</f>
        <v>0</v>
      </c>
      <c r="G76" s="466">
        <f>SUM(G77:G78)</f>
        <v>9000</v>
      </c>
    </row>
    <row r="77" spans="1:7" ht="15.75">
      <c r="A77" s="23" t="s">
        <v>96</v>
      </c>
      <c r="B77" s="12" t="s">
        <v>42</v>
      </c>
      <c r="C77" s="13">
        <v>0</v>
      </c>
      <c r="D77" s="448">
        <v>9000</v>
      </c>
      <c r="E77" s="194">
        <v>9000</v>
      </c>
      <c r="F77" s="195"/>
      <c r="G77" s="710">
        <v>9000</v>
      </c>
    </row>
    <row r="78" spans="1:7" ht="16.5" thickBot="1">
      <c r="A78" s="21" t="s">
        <v>97</v>
      </c>
      <c r="B78" s="9" t="s">
        <v>43</v>
      </c>
      <c r="C78" s="10"/>
      <c r="D78" s="449"/>
      <c r="E78" s="193"/>
      <c r="F78" s="68"/>
      <c r="G78" s="468"/>
    </row>
    <row r="79" spans="1:7" ht="16.5" thickBot="1">
      <c r="A79" s="32" t="s">
        <v>6</v>
      </c>
      <c r="B79" s="47" t="s">
        <v>307</v>
      </c>
      <c r="C79" s="48">
        <v>4494</v>
      </c>
      <c r="D79" s="453"/>
      <c r="E79" s="443"/>
      <c r="F79" s="48"/>
      <c r="G79" s="469"/>
    </row>
    <row r="80" spans="1:7" ht="16.5" thickBot="1">
      <c r="A80" s="32" t="s">
        <v>7</v>
      </c>
      <c r="B80" s="47" t="s">
        <v>178</v>
      </c>
      <c r="C80" s="48">
        <f>19174-9369-29895+4611-173+120+19</f>
        <v>-15513</v>
      </c>
      <c r="D80" s="453"/>
      <c r="E80" s="443"/>
      <c r="F80" s="477">
        <v>-9443</v>
      </c>
      <c r="G80" s="467"/>
    </row>
    <row r="81" spans="1:7" ht="16.5" thickBot="1">
      <c r="A81" s="32" t="s">
        <v>8</v>
      </c>
      <c r="B81" s="47" t="s">
        <v>126</v>
      </c>
      <c r="C81" s="74">
        <f>SUM(C82:C83)</f>
        <v>54453</v>
      </c>
      <c r="D81" s="452">
        <f>SUM(D82:D83)</f>
        <v>185566</v>
      </c>
      <c r="E81" s="442">
        <f>SUM(E82:E83)</f>
        <v>185566</v>
      </c>
      <c r="F81" s="74">
        <f>SUM(F82:F83)</f>
        <v>902447</v>
      </c>
      <c r="G81" s="466">
        <f>SUM(G82:G83)</f>
        <v>0</v>
      </c>
    </row>
    <row r="82" spans="1:7" ht="15.75">
      <c r="A82" s="23" t="s">
        <v>106</v>
      </c>
      <c r="B82" s="12" t="s">
        <v>177</v>
      </c>
      <c r="C82" s="13"/>
      <c r="D82" s="448">
        <v>106018</v>
      </c>
      <c r="E82" s="194">
        <v>106018</v>
      </c>
      <c r="F82" s="163">
        <v>122518</v>
      </c>
      <c r="G82" s="470"/>
    </row>
    <row r="83" spans="1:7" ht="16.5" thickBot="1">
      <c r="A83" s="24" t="s">
        <v>107</v>
      </c>
      <c r="B83" s="19" t="s">
        <v>176</v>
      </c>
      <c r="C83" s="15">
        <v>54453</v>
      </c>
      <c r="D83" s="450">
        <v>79548</v>
      </c>
      <c r="E83" s="198">
        <v>79548</v>
      </c>
      <c r="F83" s="476">
        <v>779929</v>
      </c>
      <c r="G83" s="471"/>
    </row>
    <row r="84" spans="1:7" ht="16.5" thickBot="1">
      <c r="A84" s="32" t="s">
        <v>9</v>
      </c>
      <c r="B84" s="51" t="s">
        <v>127</v>
      </c>
      <c r="C84" s="74">
        <f>C48+C71+C76+C79+C80+C81</f>
        <v>1417146</v>
      </c>
      <c r="D84" s="452">
        <f>D48+D71+D76+D79+D80+D81</f>
        <v>1675568</v>
      </c>
      <c r="E84" s="442">
        <f>E48+E71+E76+E79+E80+E81</f>
        <v>1712198</v>
      </c>
      <c r="F84" s="478">
        <f>F48+F71+F76+F79+F80+F81</f>
        <v>2220449</v>
      </c>
      <c r="G84" s="478">
        <f>G48+G71+G76+G79+G80+G81</f>
        <v>1470080</v>
      </c>
    </row>
    <row r="85" spans="1:7" ht="15.75">
      <c r="A85" s="909"/>
      <c r="B85" s="909"/>
      <c r="C85" s="909"/>
      <c r="D85" s="909"/>
      <c r="E85" s="909"/>
      <c r="F85" s="441"/>
      <c r="G85" s="441"/>
    </row>
    <row r="86" ht="15.75" customHeight="1"/>
  </sheetData>
  <sheetProtection/>
  <mergeCells count="5">
    <mergeCell ref="F1:G1"/>
    <mergeCell ref="F45:G45"/>
    <mergeCell ref="A85:E85"/>
    <mergeCell ref="D1:E1"/>
    <mergeCell ref="D45:E45"/>
  </mergeCells>
  <printOptions horizontalCentered="1"/>
  <pageMargins left="0.5905511811023623" right="0.5905511811023623" top="1.1811023622047245" bottom="0.5905511811023623" header="0.7874015748031497" footer="0.7874015748031497"/>
  <pageSetup horizontalDpi="600" verticalDpi="600" orientation="portrait" paperSize="9" scale="95" r:id="rId1"/>
  <headerFooter alignWithMargins="0">
    <oddHeader>&amp;C&amp;"Times New Roman CE,Félkövér"
A Polgármesteri Hivatal
2008. ÉVI KÖLTSÉGVETÉSÉNEK PÉNZÜGYI MÉRLEGE
&amp;R&amp;"Times New Roman CE,Félkövér dőlt"&amp;11 3. sz. melléklet</oddHeader>
  </headerFooter>
  <ignoredErrors>
    <ignoredError sqref="C49:F72 G72 G52:G7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19">
      <selection activeCell="K31" sqref="K31"/>
    </sheetView>
  </sheetViews>
  <sheetFormatPr defaultColWidth="9.00390625" defaultRowHeight="12.75"/>
  <cols>
    <col min="1" max="1" width="7.50390625" style="61" customWidth="1"/>
    <col min="2" max="2" width="39.875" style="61" customWidth="1"/>
    <col min="3" max="3" width="11.875" style="61" customWidth="1"/>
    <col min="4" max="4" width="11.375" style="61" customWidth="1"/>
    <col min="5" max="5" width="11.125" style="61" customWidth="1"/>
    <col min="6" max="6" width="10.875" style="61" customWidth="1"/>
    <col min="7" max="7" width="13.00390625" style="61" customWidth="1"/>
    <col min="8" max="16384" width="9.375" style="61" customWidth="1"/>
  </cols>
  <sheetData>
    <row r="3" spans="1:7" ht="15.75">
      <c r="A3" s="233" t="s">
        <v>0</v>
      </c>
      <c r="B3" s="233"/>
      <c r="C3" s="233"/>
      <c r="D3" s="233"/>
      <c r="E3" s="233"/>
      <c r="F3" s="233"/>
      <c r="G3" s="234"/>
    </row>
    <row r="4" spans="1:7" ht="16.5" thickBot="1">
      <c r="A4" s="233"/>
      <c r="B4" s="233"/>
      <c r="C4" s="233"/>
      <c r="D4" s="233"/>
      <c r="E4" s="918" t="s">
        <v>220</v>
      </c>
      <c r="F4" s="918"/>
      <c r="G4" s="234"/>
    </row>
    <row r="5" spans="1:7" ht="16.5" thickBot="1">
      <c r="A5" s="911" t="s">
        <v>1</v>
      </c>
      <c r="B5" s="913" t="s">
        <v>2</v>
      </c>
      <c r="C5" s="915" t="s">
        <v>195</v>
      </c>
      <c r="D5" s="916"/>
      <c r="E5" s="916"/>
      <c r="F5" s="916"/>
      <c r="G5" s="917"/>
    </row>
    <row r="6" spans="1:7" ht="36.75" thickBot="1">
      <c r="A6" s="912"/>
      <c r="B6" s="914"/>
      <c r="C6" s="43" t="s">
        <v>151</v>
      </c>
      <c r="D6" s="43" t="s">
        <v>136</v>
      </c>
      <c r="E6" s="62" t="s">
        <v>152</v>
      </c>
      <c r="F6" s="43" t="s">
        <v>329</v>
      </c>
      <c r="G6" s="62" t="s">
        <v>153</v>
      </c>
    </row>
    <row r="7" spans="1:7" ht="16.5" thickBot="1">
      <c r="A7" s="235"/>
      <c r="B7" s="236">
        <v>2</v>
      </c>
      <c r="C7" s="236"/>
      <c r="D7" s="236">
        <v>4</v>
      </c>
      <c r="E7" s="236">
        <v>5</v>
      </c>
      <c r="F7" s="237">
        <v>6</v>
      </c>
      <c r="G7" s="238">
        <v>7</v>
      </c>
    </row>
    <row r="8" spans="1:7" ht="16.5" thickBot="1">
      <c r="A8" s="239" t="s">
        <v>3</v>
      </c>
      <c r="B8" s="240" t="s">
        <v>221</v>
      </c>
      <c r="C8" s="430">
        <f>SUM(C9:C11)</f>
        <v>30031</v>
      </c>
      <c r="D8" s="241">
        <f>SUM(D9:D11)</f>
        <v>27510</v>
      </c>
      <c r="E8" s="241">
        <f>SUM(E9:E11)</f>
        <v>27510</v>
      </c>
      <c r="F8" s="241">
        <f>SUM(F9:F11)</f>
        <v>24853</v>
      </c>
      <c r="G8" s="591">
        <f>SUM(G9:G11)</f>
        <v>16660</v>
      </c>
    </row>
    <row r="9" spans="1:7" ht="15.75">
      <c r="A9" s="242" t="s">
        <v>118</v>
      </c>
      <c r="B9" s="243" t="s">
        <v>92</v>
      </c>
      <c r="C9" s="427">
        <v>25179</v>
      </c>
      <c r="D9" s="244">
        <v>23510</v>
      </c>
      <c r="E9" s="244">
        <v>23510</v>
      </c>
      <c r="F9" s="245">
        <v>20305</v>
      </c>
      <c r="G9" s="530">
        <v>14230</v>
      </c>
    </row>
    <row r="10" spans="1:7" ht="15.75">
      <c r="A10" s="246" t="s">
        <v>119</v>
      </c>
      <c r="B10" s="247" t="s">
        <v>222</v>
      </c>
      <c r="C10" s="393">
        <v>3376</v>
      </c>
      <c r="D10" s="248">
        <v>4000</v>
      </c>
      <c r="E10" s="248">
        <v>4000</v>
      </c>
      <c r="F10" s="249">
        <v>3376</v>
      </c>
      <c r="G10" s="531">
        <v>2430</v>
      </c>
    </row>
    <row r="11" spans="1:7" ht="16.5" thickBot="1">
      <c r="A11" s="246" t="s">
        <v>120</v>
      </c>
      <c r="B11" s="247" t="s">
        <v>223</v>
      </c>
      <c r="C11" s="393">
        <v>1476</v>
      </c>
      <c r="D11" s="248"/>
      <c r="E11" s="248"/>
      <c r="F11" s="249">
        <v>1172</v>
      </c>
      <c r="G11" s="531"/>
    </row>
    <row r="12" spans="1:7" ht="16.5" thickBot="1">
      <c r="A12" s="239" t="s">
        <v>4</v>
      </c>
      <c r="B12" s="240" t="s">
        <v>224</v>
      </c>
      <c r="C12" s="412">
        <f>SUM(C13:C15)</f>
        <v>294733</v>
      </c>
      <c r="D12" s="250">
        <f>SUM(D13:D15)</f>
        <v>315647</v>
      </c>
      <c r="E12" s="250">
        <f>SUM(E13:E15)</f>
        <v>315647</v>
      </c>
      <c r="F12" s="250">
        <f>SUM(F13:F15)</f>
        <v>269939</v>
      </c>
      <c r="G12" s="529">
        <f>SUM(G13:G15)</f>
        <v>303535</v>
      </c>
    </row>
    <row r="13" spans="1:7" ht="15.75">
      <c r="A13" s="242" t="s">
        <v>122</v>
      </c>
      <c r="B13" s="243" t="s">
        <v>225</v>
      </c>
      <c r="C13" s="427">
        <v>293224</v>
      </c>
      <c r="D13" s="244">
        <v>315647</v>
      </c>
      <c r="E13" s="244">
        <v>315647</v>
      </c>
      <c r="F13" s="245">
        <v>269593</v>
      </c>
      <c r="G13" s="530">
        <v>303535</v>
      </c>
    </row>
    <row r="14" spans="1:7" ht="15.75">
      <c r="A14" s="242" t="s">
        <v>123</v>
      </c>
      <c r="B14" s="243" t="s">
        <v>226</v>
      </c>
      <c r="C14" s="427"/>
      <c r="D14" s="244"/>
      <c r="E14" s="244"/>
      <c r="F14" s="245"/>
      <c r="G14" s="532"/>
    </row>
    <row r="15" spans="1:7" ht="16.5" thickBot="1">
      <c r="A15" s="246" t="s">
        <v>124</v>
      </c>
      <c r="B15" s="247" t="s">
        <v>227</v>
      </c>
      <c r="C15" s="393">
        <f>1378+131</f>
        <v>1509</v>
      </c>
      <c r="D15" s="248">
        <v>0</v>
      </c>
      <c r="E15" s="248"/>
      <c r="F15" s="249">
        <v>346</v>
      </c>
      <c r="G15" s="533"/>
    </row>
    <row r="16" spans="1:7" ht="16.5" thickBot="1">
      <c r="A16" s="239" t="s">
        <v>5</v>
      </c>
      <c r="B16" s="240" t="s">
        <v>228</v>
      </c>
      <c r="C16" s="431">
        <f>C12+C8</f>
        <v>324764</v>
      </c>
      <c r="D16" s="250">
        <f>D8+D12</f>
        <v>343157</v>
      </c>
      <c r="E16" s="250">
        <f>E8+E12</f>
        <v>343157</v>
      </c>
      <c r="F16" s="250">
        <f>F8+F12</f>
        <v>294792</v>
      </c>
      <c r="G16" s="534">
        <f>G12+G8</f>
        <v>320195</v>
      </c>
    </row>
    <row r="17" spans="1:7" ht="15.75">
      <c r="A17" s="252"/>
      <c r="B17" s="252"/>
      <c r="C17" s="252"/>
      <c r="D17" s="253"/>
      <c r="E17" s="253"/>
      <c r="F17" s="253"/>
      <c r="G17" s="254"/>
    </row>
    <row r="18" spans="1:7" ht="15.75">
      <c r="A18" s="252"/>
      <c r="B18" s="252"/>
      <c r="C18" s="252"/>
      <c r="D18" s="253"/>
      <c r="E18" s="253"/>
      <c r="F18" s="253"/>
      <c r="G18" s="254"/>
    </row>
    <row r="19" spans="1:7" ht="15.75">
      <c r="A19" s="252"/>
      <c r="B19" s="252"/>
      <c r="C19" s="252"/>
      <c r="D19" s="253"/>
      <c r="E19" s="253"/>
      <c r="F19" s="253"/>
      <c r="G19" s="254"/>
    </row>
    <row r="20" spans="1:7" ht="15.75">
      <c r="A20" s="255"/>
      <c r="B20" s="255"/>
      <c r="C20" s="255"/>
      <c r="D20" s="255"/>
      <c r="E20" s="255"/>
      <c r="F20" s="255"/>
      <c r="G20" s="2"/>
    </row>
    <row r="21" spans="1:7" ht="15.75">
      <c r="A21" s="910" t="s">
        <v>29</v>
      </c>
      <c r="B21" s="910"/>
      <c r="C21" s="910"/>
      <c r="D21" s="910"/>
      <c r="E21" s="910"/>
      <c r="F21" s="910"/>
      <c r="G21" s="2"/>
    </row>
    <row r="22" spans="1:7" ht="16.5" thickBot="1">
      <c r="A22" s="256"/>
      <c r="B22" s="256"/>
      <c r="C22" s="256"/>
      <c r="D22" s="256"/>
      <c r="E22" s="907" t="s">
        <v>229</v>
      </c>
      <c r="F22" s="907"/>
      <c r="G22" s="2"/>
    </row>
    <row r="23" spans="1:7" ht="16.5" thickBot="1">
      <c r="A23" s="911" t="s">
        <v>1</v>
      </c>
      <c r="B23" s="913" t="s">
        <v>230</v>
      </c>
      <c r="C23" s="915" t="s">
        <v>236</v>
      </c>
      <c r="D23" s="916"/>
      <c r="E23" s="916"/>
      <c r="F23" s="916"/>
      <c r="G23" s="917"/>
    </row>
    <row r="24" spans="1:7" ht="36.75" thickBot="1">
      <c r="A24" s="912"/>
      <c r="B24" s="914"/>
      <c r="C24" s="43" t="s">
        <v>151</v>
      </c>
      <c r="D24" s="43" t="s">
        <v>136</v>
      </c>
      <c r="E24" s="62" t="s">
        <v>152</v>
      </c>
      <c r="F24" s="43" t="s">
        <v>329</v>
      </c>
      <c r="G24" s="62" t="s">
        <v>153</v>
      </c>
    </row>
    <row r="25" spans="1:7" ht="16.5" thickBot="1">
      <c r="A25" s="235">
        <v>1</v>
      </c>
      <c r="B25" s="236">
        <v>2</v>
      </c>
      <c r="C25" s="236"/>
      <c r="D25" s="236">
        <v>4</v>
      </c>
      <c r="E25" s="236">
        <v>5</v>
      </c>
      <c r="F25" s="237">
        <v>6</v>
      </c>
      <c r="G25" s="257" t="s">
        <v>231</v>
      </c>
    </row>
    <row r="26" spans="1:7" ht="26.25" thickBot="1">
      <c r="A26" s="258"/>
      <c r="B26" s="259" t="s">
        <v>232</v>
      </c>
      <c r="C26" s="260">
        <f>SUM(C27:C36)</f>
        <v>324138</v>
      </c>
      <c r="D26" s="260">
        <f>SUM(D27:D36)</f>
        <v>343157</v>
      </c>
      <c r="E26" s="260">
        <f>SUM(E27:E36)</f>
        <v>343157</v>
      </c>
      <c r="F26" s="260">
        <f>SUM(F27:F36)</f>
        <v>290361</v>
      </c>
      <c r="G26" s="617">
        <f>SUM(G27:G36)</f>
        <v>320195</v>
      </c>
    </row>
    <row r="27" spans="1:7" ht="15.75">
      <c r="A27" s="742" t="s">
        <v>3</v>
      </c>
      <c r="B27" s="262" t="s">
        <v>31</v>
      </c>
      <c r="C27" s="392">
        <v>199615</v>
      </c>
      <c r="D27" s="263">
        <v>202745</v>
      </c>
      <c r="E27" s="263">
        <v>202745</v>
      </c>
      <c r="F27" s="264">
        <v>179518</v>
      </c>
      <c r="G27" s="530">
        <v>195608</v>
      </c>
    </row>
    <row r="28" spans="1:7" ht="15.75">
      <c r="A28" s="743" t="s">
        <v>4</v>
      </c>
      <c r="B28" s="243" t="s">
        <v>330</v>
      </c>
      <c r="C28" s="427"/>
      <c r="D28" s="270"/>
      <c r="E28" s="270"/>
      <c r="F28" s="271">
        <v>776</v>
      </c>
      <c r="G28" s="530">
        <v>0</v>
      </c>
    </row>
    <row r="29" spans="1:7" ht="15.75">
      <c r="A29" s="744" t="s">
        <v>5</v>
      </c>
      <c r="B29" s="247" t="s">
        <v>32</v>
      </c>
      <c r="C29" s="393">
        <v>64408</v>
      </c>
      <c r="D29" s="265">
        <v>65381</v>
      </c>
      <c r="E29" s="265">
        <v>65381</v>
      </c>
      <c r="F29" s="266">
        <v>56646</v>
      </c>
      <c r="G29" s="531">
        <v>64487</v>
      </c>
    </row>
    <row r="30" spans="1:7" ht="15.75">
      <c r="A30" s="743" t="s">
        <v>6</v>
      </c>
      <c r="B30" s="247" t="s">
        <v>173</v>
      </c>
      <c r="C30" s="394">
        <v>27775</v>
      </c>
      <c r="D30" s="267">
        <v>32205</v>
      </c>
      <c r="E30" s="267">
        <v>32205</v>
      </c>
      <c r="F30" s="268">
        <v>23362</v>
      </c>
      <c r="G30" s="531">
        <v>20290</v>
      </c>
    </row>
    <row r="31" spans="1:7" ht="15.75">
      <c r="A31" s="743" t="s">
        <v>7</v>
      </c>
      <c r="B31" s="269" t="s">
        <v>174</v>
      </c>
      <c r="C31" s="395">
        <v>15896</v>
      </c>
      <c r="D31" s="267">
        <v>22857</v>
      </c>
      <c r="E31" s="267">
        <v>22857</v>
      </c>
      <c r="F31" s="268">
        <v>15194</v>
      </c>
      <c r="G31" s="531">
        <v>19900</v>
      </c>
    </row>
    <row r="32" spans="1:7" ht="15.75">
      <c r="A32" s="744" t="s">
        <v>8</v>
      </c>
      <c r="B32" s="269" t="s">
        <v>175</v>
      </c>
      <c r="C32" s="395">
        <v>9149</v>
      </c>
      <c r="D32" s="267">
        <v>11573</v>
      </c>
      <c r="E32" s="267">
        <v>11573</v>
      </c>
      <c r="F32" s="268">
        <v>8754</v>
      </c>
      <c r="G32" s="531">
        <v>11850</v>
      </c>
    </row>
    <row r="33" spans="1:7" ht="15.75">
      <c r="A33" s="743" t="s">
        <v>9</v>
      </c>
      <c r="B33" s="269" t="s">
        <v>91</v>
      </c>
      <c r="C33" s="395">
        <v>1914</v>
      </c>
      <c r="D33" s="267">
        <v>2310</v>
      </c>
      <c r="E33" s="267">
        <v>2310</v>
      </c>
      <c r="F33" s="268">
        <v>1773</v>
      </c>
      <c r="G33" s="531">
        <v>2400</v>
      </c>
    </row>
    <row r="34" spans="1:7" ht="15.75">
      <c r="A34" s="743" t="s">
        <v>10</v>
      </c>
      <c r="B34" s="269" t="s">
        <v>33</v>
      </c>
      <c r="C34" s="426">
        <v>4798</v>
      </c>
      <c r="D34" s="265">
        <v>5086</v>
      </c>
      <c r="E34" s="265">
        <v>5086</v>
      </c>
      <c r="F34" s="266">
        <v>4338</v>
      </c>
      <c r="G34" s="531">
        <v>4660</v>
      </c>
    </row>
    <row r="35" spans="1:8" ht="15.75">
      <c r="A35" s="744" t="s">
        <v>11</v>
      </c>
      <c r="B35" s="243" t="s">
        <v>347</v>
      </c>
      <c r="C35" s="427">
        <v>486</v>
      </c>
      <c r="D35" s="270">
        <v>700</v>
      </c>
      <c r="E35" s="270">
        <v>700</v>
      </c>
      <c r="F35" s="271">
        <v>0</v>
      </c>
      <c r="G35" s="531">
        <v>700</v>
      </c>
      <c r="H35" s="200"/>
    </row>
    <row r="36" spans="1:8" ht="16.5" thickBot="1">
      <c r="A36" s="743" t="s">
        <v>12</v>
      </c>
      <c r="B36" s="282" t="s">
        <v>348</v>
      </c>
      <c r="C36" s="396">
        <v>97</v>
      </c>
      <c r="D36" s="526">
        <v>300</v>
      </c>
      <c r="E36" s="526">
        <v>300</v>
      </c>
      <c r="F36" s="527"/>
      <c r="G36" s="532">
        <v>300</v>
      </c>
      <c r="H36" s="200"/>
    </row>
    <row r="37" spans="1:7" ht="16.5" thickBot="1">
      <c r="A37" s="745" t="s">
        <v>13</v>
      </c>
      <c r="B37" s="272" t="s">
        <v>234</v>
      </c>
      <c r="C37" s="428">
        <v>280</v>
      </c>
      <c r="D37" s="273"/>
      <c r="E37" s="273"/>
      <c r="F37" s="274">
        <v>2480</v>
      </c>
      <c r="G37" s="618">
        <v>0</v>
      </c>
    </row>
    <row r="38" spans="1:7" ht="16.5" thickBot="1">
      <c r="A38" s="745" t="s">
        <v>14</v>
      </c>
      <c r="B38" s="275" t="s">
        <v>235</v>
      </c>
      <c r="C38" s="429">
        <f>C37+C26</f>
        <v>324418</v>
      </c>
      <c r="D38" s="276">
        <f>D26+D37</f>
        <v>343157</v>
      </c>
      <c r="E38" s="276">
        <f>E26+E37</f>
        <v>343157</v>
      </c>
      <c r="F38" s="277">
        <f>F26+F37</f>
        <v>292841</v>
      </c>
      <c r="G38" s="633">
        <f>G26+G37</f>
        <v>320195</v>
      </c>
    </row>
  </sheetData>
  <sheetProtection sheet="1"/>
  <mergeCells count="9">
    <mergeCell ref="E4:F4"/>
    <mergeCell ref="A5:A6"/>
    <mergeCell ref="B5:B6"/>
    <mergeCell ref="C5:G5"/>
    <mergeCell ref="A21:F21"/>
    <mergeCell ref="E22:F22"/>
    <mergeCell ref="A23:A24"/>
    <mergeCell ref="B23:B24"/>
    <mergeCell ref="C23:G23"/>
  </mergeCells>
  <printOptions horizontalCentered="1"/>
  <pageMargins left="0.5905511811023623" right="0.5905511811023623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CE,Félkövér"A Halászy Károly Általános Iskola
2008. ÉVI KÖLTSÉGVETÉSÉNEK PÉNZÜGYI MÉRLEGE&amp;R&amp;"Times New Roman CE,Félkövér dőlt"&amp;11 4 sz. melléklet</oddHeader>
  </headerFooter>
  <ignoredErrors>
    <ignoredError sqref="A27:A38 A12 A16 A8" numberStoredAsText="1"/>
    <ignoredError sqref="C8:G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40">
      <selection activeCell="K71" sqref="K71"/>
    </sheetView>
  </sheetViews>
  <sheetFormatPr defaultColWidth="9.00390625" defaultRowHeight="12.75"/>
  <cols>
    <col min="1" max="1" width="4.875" style="0" customWidth="1"/>
    <col min="2" max="4" width="10.625" style="0" customWidth="1"/>
    <col min="5" max="5" width="8.125" style="0" customWidth="1"/>
    <col min="6" max="6" width="12.50390625" style="0" customWidth="1"/>
    <col min="7" max="7" width="11.50390625" style="0" customWidth="1"/>
    <col min="8" max="8" width="13.00390625" style="0" customWidth="1"/>
    <col min="9" max="9" width="11.50390625" style="0" customWidth="1"/>
    <col min="10" max="10" width="10.125" style="0" customWidth="1"/>
    <col min="11" max="11" width="10.375" style="0" customWidth="1"/>
    <col min="12" max="12" width="10.50390625" style="0" customWidth="1"/>
    <col min="13" max="13" width="12.50390625" style="0" customWidth="1"/>
    <col min="14" max="14" width="12.00390625" style="0" customWidth="1"/>
  </cols>
  <sheetData>
    <row r="1" spans="1:14" ht="12.75">
      <c r="A1" s="919"/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ht="13.5" thickBot="1">
      <c r="A2" s="295"/>
      <c r="B2" s="295"/>
      <c r="C2" s="295"/>
      <c r="D2" s="295"/>
      <c r="E2" s="295"/>
      <c r="F2" s="296"/>
      <c r="G2" s="296"/>
      <c r="H2" s="297"/>
      <c r="I2" s="296"/>
      <c r="J2" s="296"/>
      <c r="K2" s="297"/>
      <c r="L2" s="298"/>
      <c r="M2" s="299"/>
      <c r="N2" s="300"/>
    </row>
    <row r="3" spans="1:14" ht="13.5" thickTop="1">
      <c r="A3" s="920" t="s">
        <v>248</v>
      </c>
      <c r="B3" s="922" t="s">
        <v>249</v>
      </c>
      <c r="C3" s="922"/>
      <c r="D3" s="922"/>
      <c r="E3" s="923"/>
      <c r="F3" s="926" t="s">
        <v>250</v>
      </c>
      <c r="G3" s="927"/>
      <c r="H3" s="928"/>
      <c r="I3" s="902" t="s">
        <v>251</v>
      </c>
      <c r="J3" s="903"/>
      <c r="K3" s="903"/>
      <c r="L3" s="903"/>
      <c r="M3" s="903"/>
      <c r="N3" s="904"/>
    </row>
    <row r="4" spans="1:14" ht="13.5" thickBot="1">
      <c r="A4" s="921"/>
      <c r="B4" s="924"/>
      <c r="C4" s="924"/>
      <c r="D4" s="924"/>
      <c r="E4" s="925"/>
      <c r="F4" s="905"/>
      <c r="G4" s="906"/>
      <c r="H4" s="901"/>
      <c r="I4" s="897" t="s">
        <v>50</v>
      </c>
      <c r="J4" s="898"/>
      <c r="K4" s="899"/>
      <c r="L4" s="900" t="s">
        <v>252</v>
      </c>
      <c r="M4" s="929"/>
      <c r="N4" s="930"/>
    </row>
    <row r="5" spans="1:14" ht="13.5" thickTop="1">
      <c r="A5" s="921"/>
      <c r="B5" s="924"/>
      <c r="C5" s="924"/>
      <c r="D5" s="924"/>
      <c r="E5" s="925"/>
      <c r="F5" s="931" t="s">
        <v>253</v>
      </c>
      <c r="G5" s="934" t="s">
        <v>265</v>
      </c>
      <c r="H5" s="937" t="s">
        <v>266</v>
      </c>
      <c r="I5" s="945" t="s">
        <v>253</v>
      </c>
      <c r="J5" s="934" t="s">
        <v>265</v>
      </c>
      <c r="K5" s="937" t="s">
        <v>266</v>
      </c>
      <c r="L5" s="945" t="s">
        <v>253</v>
      </c>
      <c r="M5" s="934" t="s">
        <v>265</v>
      </c>
      <c r="N5" s="937" t="s">
        <v>266</v>
      </c>
    </row>
    <row r="6" spans="1:14" ht="12.75">
      <c r="A6" s="921"/>
      <c r="B6" s="924"/>
      <c r="C6" s="924"/>
      <c r="D6" s="924"/>
      <c r="E6" s="925"/>
      <c r="F6" s="932"/>
      <c r="G6" s="935"/>
      <c r="H6" s="938"/>
      <c r="I6" s="946"/>
      <c r="J6" s="935"/>
      <c r="K6" s="938"/>
      <c r="L6" s="946"/>
      <c r="M6" s="935"/>
      <c r="N6" s="938"/>
    </row>
    <row r="7" spans="1:14" ht="13.5" thickBot="1">
      <c r="A7" s="921"/>
      <c r="B7" s="940"/>
      <c r="C7" s="941"/>
      <c r="D7" s="941"/>
      <c r="E7" s="942"/>
      <c r="F7" s="933"/>
      <c r="G7" s="936"/>
      <c r="H7" s="939"/>
      <c r="I7" s="947"/>
      <c r="J7" s="936"/>
      <c r="K7" s="939"/>
      <c r="L7" s="947"/>
      <c r="M7" s="936"/>
      <c r="N7" s="939"/>
    </row>
    <row r="8" spans="1:14" ht="13.5" thickTop="1">
      <c r="A8" s="921"/>
      <c r="B8" s="943" t="s">
        <v>3</v>
      </c>
      <c r="C8" s="943"/>
      <c r="D8" s="943"/>
      <c r="E8" s="944"/>
      <c r="F8" s="361" t="s">
        <v>4</v>
      </c>
      <c r="G8" s="358" t="s">
        <v>6</v>
      </c>
      <c r="H8" s="360" t="s">
        <v>7</v>
      </c>
      <c r="I8" s="372" t="s">
        <v>8</v>
      </c>
      <c r="J8" s="363" t="s">
        <v>10</v>
      </c>
      <c r="K8" s="359" t="s">
        <v>11</v>
      </c>
      <c r="L8" s="360" t="s">
        <v>12</v>
      </c>
      <c r="M8" s="363" t="s">
        <v>14</v>
      </c>
      <c r="N8" s="359" t="s">
        <v>15</v>
      </c>
    </row>
    <row r="9" spans="1:14" ht="12.75">
      <c r="A9" s="301" t="s">
        <v>3</v>
      </c>
      <c r="B9" s="948" t="s">
        <v>331</v>
      </c>
      <c r="C9" s="949"/>
      <c r="D9" s="949"/>
      <c r="E9" s="950"/>
      <c r="F9" s="799">
        <f>I9+L9+F25+I25+L25+F43+I43+L43+F58</f>
        <v>45407</v>
      </c>
      <c r="G9" s="303">
        <f aca="true" t="shared" si="0" ref="F9:H16">J9+M9+G25+J25+M25+G43+J43+M43+G58+J58</f>
        <v>54715</v>
      </c>
      <c r="H9" s="353">
        <f t="shared" si="0"/>
        <v>34266</v>
      </c>
      <c r="I9" s="304">
        <v>13020</v>
      </c>
      <c r="J9" s="305">
        <v>18517</v>
      </c>
      <c r="K9" s="306">
        <v>8856</v>
      </c>
      <c r="L9" s="365">
        <v>4386</v>
      </c>
      <c r="M9" s="307">
        <v>5955</v>
      </c>
      <c r="N9" s="308">
        <v>3040</v>
      </c>
    </row>
    <row r="10" spans="1:14" ht="12.75">
      <c r="A10" s="301" t="s">
        <v>4</v>
      </c>
      <c r="B10" s="948" t="s">
        <v>332</v>
      </c>
      <c r="C10" s="953"/>
      <c r="D10" s="953"/>
      <c r="E10" s="954"/>
      <c r="F10" s="799">
        <f t="shared" si="0"/>
        <v>0</v>
      </c>
      <c r="G10" s="303">
        <f t="shared" si="0"/>
        <v>5400</v>
      </c>
      <c r="H10" s="353">
        <f t="shared" si="0"/>
        <v>0</v>
      </c>
      <c r="I10" s="304"/>
      <c r="J10" s="305"/>
      <c r="K10" s="306"/>
      <c r="L10" s="365"/>
      <c r="M10" s="307"/>
      <c r="N10" s="308"/>
    </row>
    <row r="11" spans="1:14" ht="12.75">
      <c r="A11" s="301" t="s">
        <v>5</v>
      </c>
      <c r="B11" s="948" t="s">
        <v>333</v>
      </c>
      <c r="C11" s="949"/>
      <c r="D11" s="949"/>
      <c r="E11" s="950"/>
      <c r="F11" s="799">
        <f t="shared" si="0"/>
        <v>55003</v>
      </c>
      <c r="G11" s="303">
        <f t="shared" si="0"/>
        <v>0</v>
      </c>
      <c r="H11" s="353">
        <f t="shared" si="0"/>
        <v>0</v>
      </c>
      <c r="I11" s="304">
        <v>24069</v>
      </c>
      <c r="J11" s="305"/>
      <c r="K11" s="306"/>
      <c r="L11" s="365">
        <v>7943</v>
      </c>
      <c r="M11" s="307"/>
      <c r="N11" s="308"/>
    </row>
    <row r="12" spans="1:14" ht="12.75">
      <c r="A12" s="301" t="s">
        <v>6</v>
      </c>
      <c r="B12" s="948" t="s">
        <v>334</v>
      </c>
      <c r="C12" s="949"/>
      <c r="D12" s="949"/>
      <c r="E12" s="950"/>
      <c r="F12" s="799">
        <f t="shared" si="0"/>
        <v>0</v>
      </c>
      <c r="G12" s="303">
        <f t="shared" si="0"/>
        <v>0</v>
      </c>
      <c r="H12" s="353">
        <f t="shared" si="0"/>
        <v>0</v>
      </c>
      <c r="I12" s="304"/>
      <c r="J12" s="305"/>
      <c r="K12" s="306"/>
      <c r="L12" s="365"/>
      <c r="M12" s="307"/>
      <c r="N12" s="308"/>
    </row>
    <row r="13" spans="1:14" ht="12.75">
      <c r="A13" s="301" t="s">
        <v>7</v>
      </c>
      <c r="B13" s="948" t="s">
        <v>335</v>
      </c>
      <c r="C13" s="949"/>
      <c r="D13" s="949"/>
      <c r="E13" s="950"/>
      <c r="F13" s="799">
        <f>I13+L13+F29+I29+L29+F47+I47+L47+F62+I62</f>
        <v>164808</v>
      </c>
      <c r="G13" s="303">
        <f t="shared" si="0"/>
        <v>211230</v>
      </c>
      <c r="H13" s="353">
        <f>K13+N13+H29+K29+N29+H47+K47+N47+H62+K62</f>
        <v>214194</v>
      </c>
      <c r="I13" s="304">
        <v>118247</v>
      </c>
      <c r="J13" s="305">
        <v>134279</v>
      </c>
      <c r="K13" s="306">
        <v>138282</v>
      </c>
      <c r="L13" s="365">
        <v>38011</v>
      </c>
      <c r="M13" s="307">
        <v>43686</v>
      </c>
      <c r="N13" s="308">
        <v>45247</v>
      </c>
    </row>
    <row r="14" spans="1:14" ht="12.75">
      <c r="A14" s="301" t="s">
        <v>8</v>
      </c>
      <c r="B14" s="948" t="s">
        <v>336</v>
      </c>
      <c r="C14" s="951"/>
      <c r="D14" s="951"/>
      <c r="E14" s="952"/>
      <c r="F14" s="799">
        <f t="shared" si="0"/>
        <v>11603</v>
      </c>
      <c r="G14" s="303">
        <f t="shared" si="0"/>
        <v>14806</v>
      </c>
      <c r="H14" s="353">
        <f t="shared" si="0"/>
        <v>19990</v>
      </c>
      <c r="I14" s="304">
        <v>8768</v>
      </c>
      <c r="J14" s="305">
        <v>9531</v>
      </c>
      <c r="K14" s="306">
        <v>13400</v>
      </c>
      <c r="L14" s="365">
        <v>2835</v>
      </c>
      <c r="M14" s="307">
        <v>2953</v>
      </c>
      <c r="N14" s="308">
        <v>4600</v>
      </c>
    </row>
    <row r="15" spans="1:14" ht="12.75">
      <c r="A15" s="301" t="s">
        <v>9</v>
      </c>
      <c r="B15" s="948" t="s">
        <v>337</v>
      </c>
      <c r="C15" s="953"/>
      <c r="D15" s="953"/>
      <c r="E15" s="954"/>
      <c r="F15" s="799">
        <f t="shared" si="0"/>
        <v>46743</v>
      </c>
      <c r="G15" s="303">
        <f t="shared" si="0"/>
        <v>57006</v>
      </c>
      <c r="H15" s="353">
        <f t="shared" si="0"/>
        <v>51745</v>
      </c>
      <c r="I15" s="304">
        <v>35510</v>
      </c>
      <c r="J15" s="305">
        <v>40418</v>
      </c>
      <c r="K15" s="306">
        <v>35070</v>
      </c>
      <c r="L15" s="365">
        <v>11233</v>
      </c>
      <c r="M15" s="307">
        <v>12787</v>
      </c>
      <c r="N15" s="308">
        <v>11600</v>
      </c>
    </row>
    <row r="16" spans="1:14" ht="12.75">
      <c r="A16" s="309" t="s">
        <v>10</v>
      </c>
      <c r="B16" s="423" t="s">
        <v>339</v>
      </c>
      <c r="C16" s="424"/>
      <c r="D16" s="424"/>
      <c r="E16" s="425"/>
      <c r="F16" s="799">
        <f t="shared" si="0"/>
        <v>274</v>
      </c>
      <c r="G16" s="303">
        <f t="shared" si="0"/>
        <v>0</v>
      </c>
      <c r="H16" s="353">
        <f t="shared" si="0"/>
        <v>0</v>
      </c>
      <c r="I16" s="433"/>
      <c r="J16" s="434"/>
      <c r="K16" s="310"/>
      <c r="L16" s="366"/>
      <c r="M16" s="435"/>
      <c r="N16" s="311"/>
    </row>
    <row r="17" spans="1:14" ht="13.5" thickBot="1">
      <c r="A17" s="309"/>
      <c r="B17" s="423" t="s">
        <v>376</v>
      </c>
      <c r="C17" s="424"/>
      <c r="D17" s="424"/>
      <c r="E17" s="425"/>
      <c r="F17" s="302">
        <v>280</v>
      </c>
      <c r="G17" s="303"/>
      <c r="H17" s="353"/>
      <c r="I17" s="433"/>
      <c r="J17" s="434"/>
      <c r="K17" s="310"/>
      <c r="L17" s="366"/>
      <c r="M17" s="435"/>
      <c r="N17" s="311"/>
    </row>
    <row r="18" spans="1:14" ht="14.25" thickBot="1" thickTop="1">
      <c r="A18" s="312">
        <v>9</v>
      </c>
      <c r="B18" s="313" t="s">
        <v>261</v>
      </c>
      <c r="C18" s="314"/>
      <c r="D18" s="314"/>
      <c r="E18" s="315"/>
      <c r="F18" s="316">
        <f aca="true" t="shared" si="1" ref="F18:N18">SUM(F9:F17)</f>
        <v>324118</v>
      </c>
      <c r="G18" s="317">
        <f t="shared" si="1"/>
        <v>343157</v>
      </c>
      <c r="H18" s="318">
        <f t="shared" si="1"/>
        <v>320195</v>
      </c>
      <c r="I18" s="319">
        <f t="shared" si="1"/>
        <v>199614</v>
      </c>
      <c r="J18" s="317">
        <f t="shared" si="1"/>
        <v>202745</v>
      </c>
      <c r="K18" s="318">
        <f t="shared" si="1"/>
        <v>195608</v>
      </c>
      <c r="L18" s="320">
        <f t="shared" si="1"/>
        <v>64408</v>
      </c>
      <c r="M18" s="317">
        <f t="shared" si="1"/>
        <v>65381</v>
      </c>
      <c r="N18" s="318">
        <f t="shared" si="1"/>
        <v>64487</v>
      </c>
    </row>
    <row r="19" ht="14.25" thickBot="1" thickTop="1"/>
    <row r="20" spans="1:14" ht="13.5" thickTop="1">
      <c r="A20" s="920" t="s">
        <v>248</v>
      </c>
      <c r="B20" s="922" t="s">
        <v>249</v>
      </c>
      <c r="C20" s="922"/>
      <c r="D20" s="922"/>
      <c r="E20" s="923"/>
      <c r="F20" s="955" t="s">
        <v>251</v>
      </c>
      <c r="G20" s="956"/>
      <c r="H20" s="956"/>
      <c r="I20" s="956"/>
      <c r="J20" s="956"/>
      <c r="K20" s="956"/>
      <c r="L20" s="956"/>
      <c r="M20" s="956"/>
      <c r="N20" s="957"/>
    </row>
    <row r="21" spans="1:14" ht="13.5" thickBot="1">
      <c r="A21" s="921"/>
      <c r="B21" s="924"/>
      <c r="C21" s="924"/>
      <c r="D21" s="924"/>
      <c r="E21" s="925"/>
      <c r="F21" s="958" t="s">
        <v>173</v>
      </c>
      <c r="G21" s="959"/>
      <c r="H21" s="960"/>
      <c r="I21" s="961" t="s">
        <v>174</v>
      </c>
      <c r="J21" s="962"/>
      <c r="K21" s="963"/>
      <c r="L21" s="961" t="s">
        <v>175</v>
      </c>
      <c r="M21" s="962"/>
      <c r="N21" s="963"/>
    </row>
    <row r="22" spans="1:14" ht="13.5" thickTop="1">
      <c r="A22" s="921"/>
      <c r="B22" s="924"/>
      <c r="C22" s="924"/>
      <c r="D22" s="924"/>
      <c r="E22" s="925"/>
      <c r="F22" s="931" t="s">
        <v>253</v>
      </c>
      <c r="G22" s="934" t="s">
        <v>265</v>
      </c>
      <c r="H22" s="937" t="s">
        <v>266</v>
      </c>
      <c r="I22" s="945" t="s">
        <v>253</v>
      </c>
      <c r="J22" s="934" t="s">
        <v>265</v>
      </c>
      <c r="K22" s="937" t="s">
        <v>266</v>
      </c>
      <c r="L22" s="945" t="s">
        <v>253</v>
      </c>
      <c r="M22" s="934" t="s">
        <v>265</v>
      </c>
      <c r="N22" s="937" t="s">
        <v>266</v>
      </c>
    </row>
    <row r="23" spans="1:14" ht="12.75">
      <c r="A23" s="921"/>
      <c r="B23" s="924"/>
      <c r="C23" s="924"/>
      <c r="D23" s="924"/>
      <c r="E23" s="925"/>
      <c r="F23" s="932"/>
      <c r="G23" s="935"/>
      <c r="H23" s="938"/>
      <c r="I23" s="946"/>
      <c r="J23" s="935"/>
      <c r="K23" s="938"/>
      <c r="L23" s="946"/>
      <c r="M23" s="935"/>
      <c r="N23" s="938"/>
    </row>
    <row r="24" spans="1:14" ht="13.5" thickBot="1">
      <c r="A24" s="921"/>
      <c r="B24" s="940"/>
      <c r="C24" s="941"/>
      <c r="D24" s="941"/>
      <c r="E24" s="942"/>
      <c r="F24" s="933"/>
      <c r="G24" s="936"/>
      <c r="H24" s="939"/>
      <c r="I24" s="947"/>
      <c r="J24" s="936"/>
      <c r="K24" s="939"/>
      <c r="L24" s="947"/>
      <c r="M24" s="936"/>
      <c r="N24" s="939"/>
    </row>
    <row r="25" spans="1:14" ht="13.5" thickTop="1">
      <c r="A25" s="301" t="s">
        <v>3</v>
      </c>
      <c r="B25" s="948" t="str">
        <f aca="true" t="shared" si="2" ref="B25:B32">B9</f>
        <v>Iskolai intézményi közétkeztetés</v>
      </c>
      <c r="C25" s="949"/>
      <c r="D25" s="949"/>
      <c r="E25" s="950"/>
      <c r="F25" s="340">
        <v>23127</v>
      </c>
      <c r="G25" s="368">
        <v>19449</v>
      </c>
      <c r="H25" s="339">
        <v>15900</v>
      </c>
      <c r="I25" s="340"/>
      <c r="J25" s="338">
        <v>5017</v>
      </c>
      <c r="K25" s="340">
        <v>2560</v>
      </c>
      <c r="L25" s="370">
        <v>4874</v>
      </c>
      <c r="M25" s="337">
        <v>5547</v>
      </c>
      <c r="N25" s="339">
        <v>3810</v>
      </c>
    </row>
    <row r="26" spans="1:14" ht="12.75">
      <c r="A26" s="301" t="s">
        <v>4</v>
      </c>
      <c r="B26" s="948" t="str">
        <f t="shared" si="2"/>
        <v>Munkahelyi vendéglátás</v>
      </c>
      <c r="C26" s="949"/>
      <c r="D26" s="949"/>
      <c r="E26" s="950"/>
      <c r="F26" s="340"/>
      <c r="G26" s="338">
        <v>4500</v>
      </c>
      <c r="H26" s="339"/>
      <c r="I26" s="340"/>
      <c r="J26" s="338"/>
      <c r="K26" s="340"/>
      <c r="L26" s="341"/>
      <c r="M26" s="337">
        <v>900</v>
      </c>
      <c r="N26" s="339"/>
    </row>
    <row r="27" spans="1:14" ht="12.75">
      <c r="A27" s="301" t="s">
        <v>5</v>
      </c>
      <c r="B27" s="948" t="str">
        <f t="shared" si="2"/>
        <v>Intézményi vagyon működtetése</v>
      </c>
      <c r="C27" s="949"/>
      <c r="D27" s="949"/>
      <c r="E27" s="950"/>
      <c r="F27" s="340">
        <v>1808</v>
      </c>
      <c r="G27" s="338"/>
      <c r="H27" s="339"/>
      <c r="I27" s="340">
        <v>15397</v>
      </c>
      <c r="J27" s="338"/>
      <c r="K27" s="340"/>
      <c r="L27" s="341">
        <v>3887</v>
      </c>
      <c r="M27" s="337"/>
      <c r="N27" s="339"/>
    </row>
    <row r="28" spans="1:14" ht="12.75">
      <c r="A28" s="301" t="s">
        <v>6</v>
      </c>
      <c r="B28" s="948" t="str">
        <f t="shared" si="2"/>
        <v>Önkormányzati és többc. Kis. Társ. Elsz</v>
      </c>
      <c r="C28" s="949"/>
      <c r="D28" s="949"/>
      <c r="E28" s="950"/>
      <c r="F28" s="340"/>
      <c r="G28" s="338"/>
      <c r="H28" s="339"/>
      <c r="I28" s="340"/>
      <c r="J28" s="338"/>
      <c r="K28" s="340"/>
      <c r="L28" s="341"/>
      <c r="M28" s="337"/>
      <c r="N28" s="339"/>
    </row>
    <row r="29" spans="1:14" ht="12.75">
      <c r="A29" s="301" t="s">
        <v>7</v>
      </c>
      <c r="B29" s="948" t="str">
        <f t="shared" si="2"/>
        <v>Általános iskolai nappali rendsz. Nev. Okt. </v>
      </c>
      <c r="C29" s="949"/>
      <c r="D29" s="949"/>
      <c r="E29" s="950"/>
      <c r="F29" s="340">
        <v>2648</v>
      </c>
      <c r="G29" s="338">
        <v>7076</v>
      </c>
      <c r="H29" s="339">
        <v>3525</v>
      </c>
      <c r="I29" s="340">
        <v>490</v>
      </c>
      <c r="J29" s="338">
        <v>14440</v>
      </c>
      <c r="K29" s="340">
        <v>13440</v>
      </c>
      <c r="L29" s="341">
        <v>322</v>
      </c>
      <c r="M29" s="337">
        <v>4304</v>
      </c>
      <c r="N29" s="339">
        <v>6530</v>
      </c>
    </row>
    <row r="30" spans="1:14" ht="12.75">
      <c r="A30" s="301" t="s">
        <v>8</v>
      </c>
      <c r="B30" s="948" t="str">
        <f t="shared" si="2"/>
        <v>Sajátos nev. Igényű. Tan. Nappali ált. isk. okt.</v>
      </c>
      <c r="C30" s="949"/>
      <c r="D30" s="949"/>
      <c r="E30" s="950"/>
      <c r="F30" s="340"/>
      <c r="G30" s="338">
        <v>420</v>
      </c>
      <c r="H30" s="339">
        <v>225</v>
      </c>
      <c r="I30" s="340"/>
      <c r="J30" s="338">
        <v>1133</v>
      </c>
      <c r="K30" s="340">
        <v>985</v>
      </c>
      <c r="L30" s="341"/>
      <c r="M30" s="337">
        <v>279</v>
      </c>
      <c r="N30" s="339">
        <v>350</v>
      </c>
    </row>
    <row r="31" spans="1:14" ht="12.75">
      <c r="A31" s="301" t="s">
        <v>9</v>
      </c>
      <c r="B31" s="948" t="str">
        <f t="shared" si="2"/>
        <v>Napköziotthoni és tanulószobai foglalk. </v>
      </c>
      <c r="C31" s="949"/>
      <c r="D31" s="949"/>
      <c r="E31" s="950"/>
      <c r="F31" s="340"/>
      <c r="G31" s="338">
        <v>760</v>
      </c>
      <c r="H31" s="339">
        <v>640</v>
      </c>
      <c r="I31" s="340"/>
      <c r="J31" s="338">
        <v>2267</v>
      </c>
      <c r="K31" s="340">
        <v>2915</v>
      </c>
      <c r="L31" s="341"/>
      <c r="M31" s="337">
        <v>543</v>
      </c>
      <c r="N31" s="339">
        <v>1160</v>
      </c>
    </row>
    <row r="32" spans="1:14" ht="13.5" thickBot="1">
      <c r="A32" s="729">
        <v>8</v>
      </c>
      <c r="B32" s="948" t="str">
        <f t="shared" si="2"/>
        <v>Diáksport</v>
      </c>
      <c r="C32" s="949"/>
      <c r="D32" s="949"/>
      <c r="E32" s="950"/>
      <c r="F32" s="340">
        <v>192</v>
      </c>
      <c r="G32" s="338"/>
      <c r="H32" s="339"/>
      <c r="I32" s="337">
        <v>10</v>
      </c>
      <c r="J32" s="338"/>
      <c r="K32" s="340"/>
      <c r="L32" s="438">
        <v>66</v>
      </c>
      <c r="M32" s="337"/>
      <c r="N32" s="339"/>
    </row>
    <row r="33" spans="1:14" ht="14.25" thickBot="1" thickTop="1">
      <c r="A33" s="746" t="s">
        <v>11</v>
      </c>
      <c r="B33" s="964" t="s">
        <v>262</v>
      </c>
      <c r="C33" s="965"/>
      <c r="D33" s="965"/>
      <c r="E33" s="966"/>
      <c r="F33" s="588">
        <f>SUM(F25:F32)</f>
        <v>27775</v>
      </c>
      <c r="G33" s="611">
        <f aca="true" t="shared" si="3" ref="G33:N33">SUM(G25:G32)</f>
        <v>32205</v>
      </c>
      <c r="H33" s="588">
        <f t="shared" si="3"/>
        <v>20290</v>
      </c>
      <c r="I33" s="589">
        <f t="shared" si="3"/>
        <v>15897</v>
      </c>
      <c r="J33" s="611">
        <f t="shared" si="3"/>
        <v>22857</v>
      </c>
      <c r="K33" s="590">
        <f t="shared" si="3"/>
        <v>19900</v>
      </c>
      <c r="L33" s="588">
        <f t="shared" si="3"/>
        <v>9149</v>
      </c>
      <c r="M33" s="611">
        <f t="shared" si="3"/>
        <v>11573</v>
      </c>
      <c r="N33" s="612">
        <f t="shared" si="3"/>
        <v>11850</v>
      </c>
    </row>
    <row r="34" ht="13.5" thickTop="1"/>
    <row r="37" ht="13.5" thickBot="1"/>
    <row r="38" spans="1:14" ht="13.5" thickTop="1">
      <c r="A38" s="920" t="s">
        <v>248</v>
      </c>
      <c r="B38" s="922" t="s">
        <v>249</v>
      </c>
      <c r="C38" s="922"/>
      <c r="D38" s="922"/>
      <c r="E38" s="923"/>
      <c r="F38" s="955" t="s">
        <v>251</v>
      </c>
      <c r="G38" s="956"/>
      <c r="H38" s="956"/>
      <c r="I38" s="956"/>
      <c r="J38" s="956"/>
      <c r="K38" s="956"/>
      <c r="L38" s="956"/>
      <c r="M38" s="956"/>
      <c r="N38" s="957"/>
    </row>
    <row r="39" spans="1:14" ht="13.5" thickBot="1">
      <c r="A39" s="921"/>
      <c r="B39" s="924"/>
      <c r="C39" s="924"/>
      <c r="D39" s="924"/>
      <c r="E39" s="925"/>
      <c r="F39" s="958" t="s">
        <v>91</v>
      </c>
      <c r="G39" s="959"/>
      <c r="H39" s="960"/>
      <c r="I39" s="961" t="s">
        <v>268</v>
      </c>
      <c r="J39" s="962"/>
      <c r="K39" s="963"/>
      <c r="L39" s="961" t="s">
        <v>267</v>
      </c>
      <c r="M39" s="962"/>
      <c r="N39" s="963"/>
    </row>
    <row r="40" spans="1:14" ht="13.5" thickTop="1">
      <c r="A40" s="921"/>
      <c r="B40" s="924"/>
      <c r="C40" s="924"/>
      <c r="D40" s="924"/>
      <c r="E40" s="925"/>
      <c r="F40" s="931" t="s">
        <v>253</v>
      </c>
      <c r="G40" s="934" t="s">
        <v>265</v>
      </c>
      <c r="H40" s="937" t="s">
        <v>266</v>
      </c>
      <c r="I40" s="945" t="s">
        <v>253</v>
      </c>
      <c r="J40" s="934" t="s">
        <v>265</v>
      </c>
      <c r="K40" s="937" t="s">
        <v>266</v>
      </c>
      <c r="L40" s="945" t="s">
        <v>253</v>
      </c>
      <c r="M40" s="934" t="s">
        <v>265</v>
      </c>
      <c r="N40" s="937" t="s">
        <v>266</v>
      </c>
    </row>
    <row r="41" spans="1:14" ht="12.75">
      <c r="A41" s="921"/>
      <c r="B41" s="924"/>
      <c r="C41" s="924"/>
      <c r="D41" s="924"/>
      <c r="E41" s="925"/>
      <c r="F41" s="932"/>
      <c r="G41" s="935"/>
      <c r="H41" s="938"/>
      <c r="I41" s="946"/>
      <c r="J41" s="935"/>
      <c r="K41" s="938"/>
      <c r="L41" s="946"/>
      <c r="M41" s="935"/>
      <c r="N41" s="938"/>
    </row>
    <row r="42" spans="1:14" ht="13.5" thickBot="1">
      <c r="A42" s="921"/>
      <c r="B42" s="940"/>
      <c r="C42" s="941"/>
      <c r="D42" s="941"/>
      <c r="E42" s="942"/>
      <c r="F42" s="933"/>
      <c r="G42" s="936"/>
      <c r="H42" s="939"/>
      <c r="I42" s="947"/>
      <c r="J42" s="936"/>
      <c r="K42" s="939"/>
      <c r="L42" s="947"/>
      <c r="M42" s="936"/>
      <c r="N42" s="939"/>
    </row>
    <row r="43" spans="1:14" ht="13.5" thickTop="1">
      <c r="A43" s="301" t="s">
        <v>3</v>
      </c>
      <c r="B43" s="948" t="str">
        <f aca="true" t="shared" si="4" ref="B43:B50">B25</f>
        <v>Iskolai intézményi közétkeztetés</v>
      </c>
      <c r="C43" s="949"/>
      <c r="D43" s="949"/>
      <c r="E43" s="950"/>
      <c r="F43" s="340"/>
      <c r="G43" s="368">
        <v>230</v>
      </c>
      <c r="H43" s="339">
        <v>100</v>
      </c>
      <c r="I43" s="340"/>
      <c r="J43" s="338"/>
      <c r="K43" s="340"/>
      <c r="L43" s="370"/>
      <c r="M43" s="337"/>
      <c r="N43" s="339"/>
    </row>
    <row r="44" spans="1:14" ht="12.75">
      <c r="A44" s="301" t="s">
        <v>4</v>
      </c>
      <c r="B44" s="948" t="str">
        <f t="shared" si="4"/>
        <v>Munkahelyi vendéglátás</v>
      </c>
      <c r="C44" s="949"/>
      <c r="D44" s="949"/>
      <c r="E44" s="950"/>
      <c r="F44" s="340"/>
      <c r="G44" s="338"/>
      <c r="H44" s="339"/>
      <c r="I44" s="340"/>
      <c r="J44" s="338"/>
      <c r="K44" s="340"/>
      <c r="L44" s="341"/>
      <c r="M44" s="337"/>
      <c r="N44" s="339"/>
    </row>
    <row r="45" spans="1:14" ht="12.75">
      <c r="A45" s="301" t="s">
        <v>5</v>
      </c>
      <c r="B45" s="948" t="str">
        <f t="shared" si="4"/>
        <v>Intézményi vagyon működtetése</v>
      </c>
      <c r="C45" s="949"/>
      <c r="D45" s="949"/>
      <c r="E45" s="950"/>
      <c r="F45" s="340">
        <v>1899</v>
      </c>
      <c r="G45" s="338"/>
      <c r="H45" s="339"/>
      <c r="I45" s="340"/>
      <c r="J45" s="338"/>
      <c r="K45" s="340"/>
      <c r="L45" s="341"/>
      <c r="M45" s="337"/>
      <c r="N45" s="339"/>
    </row>
    <row r="46" spans="1:14" ht="12.75">
      <c r="A46" s="301" t="s">
        <v>6</v>
      </c>
      <c r="B46" s="948" t="str">
        <f t="shared" si="4"/>
        <v>Önkormányzati és többc. Kis. Társ. Elsz</v>
      </c>
      <c r="C46" s="949"/>
      <c r="D46" s="949"/>
      <c r="E46" s="950"/>
      <c r="F46" s="340"/>
      <c r="G46" s="338"/>
      <c r="H46" s="339"/>
      <c r="I46" s="340"/>
      <c r="J46" s="338"/>
      <c r="K46" s="340"/>
      <c r="L46" s="341"/>
      <c r="M46" s="337"/>
      <c r="N46" s="339"/>
    </row>
    <row r="47" spans="1:14" ht="12.75">
      <c r="A47" s="301" t="s">
        <v>7</v>
      </c>
      <c r="B47" s="948" t="str">
        <f t="shared" si="4"/>
        <v>Általános iskolai nappali rendsz. Nev. Okt. </v>
      </c>
      <c r="C47" s="949"/>
      <c r="D47" s="949"/>
      <c r="E47" s="950"/>
      <c r="F47" s="340">
        <v>9</v>
      </c>
      <c r="G47" s="338">
        <v>1733</v>
      </c>
      <c r="H47" s="339">
        <v>1820</v>
      </c>
      <c r="I47" s="340">
        <v>4798</v>
      </c>
      <c r="J47" s="338">
        <v>4712</v>
      </c>
      <c r="K47" s="340">
        <v>4350</v>
      </c>
      <c r="L47" s="341"/>
      <c r="M47" s="337"/>
      <c r="N47" s="339"/>
    </row>
    <row r="48" spans="1:14" ht="12.75">
      <c r="A48" s="301" t="s">
        <v>8</v>
      </c>
      <c r="B48" s="948" t="str">
        <f t="shared" si="4"/>
        <v>Sajátos nev. Igényű. Tan. Nappali ált. isk. okt.</v>
      </c>
      <c r="C48" s="949"/>
      <c r="D48" s="949"/>
      <c r="E48" s="950"/>
      <c r="F48" s="340"/>
      <c r="G48" s="338">
        <v>116</v>
      </c>
      <c r="H48" s="339">
        <v>120</v>
      </c>
      <c r="I48" s="340"/>
      <c r="J48" s="338">
        <v>374</v>
      </c>
      <c r="K48" s="340">
        <v>310</v>
      </c>
      <c r="L48" s="341"/>
      <c r="M48" s="337"/>
      <c r="N48" s="339"/>
    </row>
    <row r="49" spans="1:14" ht="12.75">
      <c r="A49" s="301" t="s">
        <v>9</v>
      </c>
      <c r="B49" s="948" t="str">
        <f t="shared" si="4"/>
        <v>Napköziotthoni és tanulószobai foglalk. </v>
      </c>
      <c r="C49" s="949"/>
      <c r="D49" s="949"/>
      <c r="E49" s="950"/>
      <c r="F49" s="340"/>
      <c r="G49" s="338">
        <v>231</v>
      </c>
      <c r="H49" s="339">
        <v>360</v>
      </c>
      <c r="I49" s="340"/>
      <c r="J49" s="338"/>
      <c r="K49" s="340"/>
      <c r="L49" s="341"/>
      <c r="M49" s="337"/>
      <c r="N49" s="339"/>
    </row>
    <row r="50" spans="1:14" ht="13.5" thickBot="1">
      <c r="A50" s="729">
        <v>8</v>
      </c>
      <c r="B50" s="420" t="str">
        <f t="shared" si="4"/>
        <v>Diáksport</v>
      </c>
      <c r="C50" s="421"/>
      <c r="D50" s="421"/>
      <c r="E50" s="422"/>
      <c r="F50" s="341">
        <v>6</v>
      </c>
      <c r="G50" s="338"/>
      <c r="H50" s="339"/>
      <c r="I50" s="341"/>
      <c r="J50" s="338"/>
      <c r="K50" s="339"/>
      <c r="L50" s="341"/>
      <c r="M50" s="338"/>
      <c r="N50" s="339"/>
    </row>
    <row r="51" spans="1:14" ht="14.25" thickBot="1" thickTop="1">
      <c r="A51" s="331">
        <v>9</v>
      </c>
      <c r="B51" s="964" t="s">
        <v>262</v>
      </c>
      <c r="C51" s="965"/>
      <c r="D51" s="965"/>
      <c r="E51" s="966"/>
      <c r="F51" s="588">
        <f>SUM(F43:F50)</f>
        <v>1914</v>
      </c>
      <c r="G51" s="611">
        <f aca="true" t="shared" si="5" ref="G51:N51">SUM(G43:G50)</f>
        <v>2310</v>
      </c>
      <c r="H51" s="588">
        <f t="shared" si="5"/>
        <v>2400</v>
      </c>
      <c r="I51" s="613">
        <f t="shared" si="5"/>
        <v>4798</v>
      </c>
      <c r="J51" s="611">
        <f t="shared" si="5"/>
        <v>5086</v>
      </c>
      <c r="K51" s="588">
        <f t="shared" si="5"/>
        <v>4660</v>
      </c>
      <c r="L51" s="613">
        <f t="shared" si="5"/>
        <v>0</v>
      </c>
      <c r="M51" s="588">
        <f t="shared" si="5"/>
        <v>0</v>
      </c>
      <c r="N51" s="612">
        <f t="shared" si="5"/>
        <v>0</v>
      </c>
    </row>
    <row r="52" ht="14.25" thickBot="1" thickTop="1"/>
    <row r="53" spans="1:14" ht="13.5" thickTop="1">
      <c r="A53" s="920" t="s">
        <v>248</v>
      </c>
      <c r="B53" s="922" t="s">
        <v>249</v>
      </c>
      <c r="C53" s="922"/>
      <c r="D53" s="922"/>
      <c r="E53" s="923"/>
      <c r="F53" s="955" t="s">
        <v>251</v>
      </c>
      <c r="G53" s="956"/>
      <c r="H53" s="956"/>
      <c r="I53" s="956"/>
      <c r="J53" s="956"/>
      <c r="K53" s="956"/>
      <c r="L53" s="956"/>
      <c r="M53" s="956"/>
      <c r="N53" s="957"/>
    </row>
    <row r="54" spans="1:14" ht="13.5" thickBot="1">
      <c r="A54" s="921"/>
      <c r="B54" s="924"/>
      <c r="C54" s="924"/>
      <c r="D54" s="924"/>
      <c r="E54" s="925"/>
      <c r="F54" s="958" t="s">
        <v>263</v>
      </c>
      <c r="G54" s="959"/>
      <c r="H54" s="960"/>
      <c r="I54" s="961" t="s">
        <v>264</v>
      </c>
      <c r="J54" s="962"/>
      <c r="K54" s="963"/>
      <c r="L54" s="961" t="s">
        <v>269</v>
      </c>
      <c r="M54" s="962"/>
      <c r="N54" s="963"/>
    </row>
    <row r="55" spans="1:14" ht="13.5" customHeight="1" thickTop="1">
      <c r="A55" s="921"/>
      <c r="B55" s="924"/>
      <c r="C55" s="924"/>
      <c r="D55" s="924"/>
      <c r="E55" s="925"/>
      <c r="F55" s="931" t="s">
        <v>253</v>
      </c>
      <c r="G55" s="934" t="s">
        <v>265</v>
      </c>
      <c r="H55" s="937" t="s">
        <v>266</v>
      </c>
      <c r="I55" s="945" t="s">
        <v>253</v>
      </c>
      <c r="J55" s="934" t="s">
        <v>265</v>
      </c>
      <c r="K55" s="937" t="s">
        <v>266</v>
      </c>
      <c r="L55" s="931" t="s">
        <v>552</v>
      </c>
      <c r="M55" s="967"/>
      <c r="N55" s="937" t="s">
        <v>266</v>
      </c>
    </row>
    <row r="56" spans="1:14" ht="12.75">
      <c r="A56" s="921"/>
      <c r="B56" s="924"/>
      <c r="C56" s="924"/>
      <c r="D56" s="924"/>
      <c r="E56" s="925"/>
      <c r="F56" s="932"/>
      <c r="G56" s="935"/>
      <c r="H56" s="938"/>
      <c r="I56" s="946"/>
      <c r="J56" s="935"/>
      <c r="K56" s="938"/>
      <c r="L56" s="968"/>
      <c r="M56" s="969"/>
      <c r="N56" s="938"/>
    </row>
    <row r="57" spans="1:14" ht="13.5" thickBot="1">
      <c r="A57" s="921"/>
      <c r="B57" s="940"/>
      <c r="C57" s="941"/>
      <c r="D57" s="941"/>
      <c r="E57" s="942"/>
      <c r="F57" s="933"/>
      <c r="G57" s="936"/>
      <c r="H57" s="939"/>
      <c r="I57" s="947"/>
      <c r="J57" s="936"/>
      <c r="K57" s="939"/>
      <c r="L57" s="970"/>
      <c r="M57" s="971"/>
      <c r="N57" s="939"/>
    </row>
    <row r="58" spans="1:14" ht="13.5" thickTop="1">
      <c r="A58" s="301" t="s">
        <v>3</v>
      </c>
      <c r="B58" s="948" t="s">
        <v>331</v>
      </c>
      <c r="C58" s="949"/>
      <c r="D58" s="949"/>
      <c r="E58" s="950"/>
      <c r="F58" s="340"/>
      <c r="G58" s="368"/>
      <c r="H58" s="339"/>
      <c r="I58" s="340">
        <v>300</v>
      </c>
      <c r="J58" s="338"/>
      <c r="K58" s="340"/>
      <c r="L58" s="972"/>
      <c r="M58" s="973"/>
      <c r="N58" s="339">
        <v>11</v>
      </c>
    </row>
    <row r="59" spans="1:14" ht="12.75">
      <c r="A59" s="301" t="s">
        <v>4</v>
      </c>
      <c r="B59" s="948" t="s">
        <v>332</v>
      </c>
      <c r="C59" s="953"/>
      <c r="D59" s="953"/>
      <c r="E59" s="954"/>
      <c r="F59" s="340"/>
      <c r="G59" s="338"/>
      <c r="H59" s="339"/>
      <c r="I59" s="340"/>
      <c r="J59" s="338"/>
      <c r="K59" s="340"/>
      <c r="L59" s="980"/>
      <c r="M59" s="981"/>
      <c r="N59" s="339"/>
    </row>
    <row r="60" spans="1:14" ht="12.75">
      <c r="A60" s="301" t="s">
        <v>5</v>
      </c>
      <c r="B60" s="948" t="s">
        <v>333</v>
      </c>
      <c r="C60" s="949"/>
      <c r="D60" s="949"/>
      <c r="E60" s="950"/>
      <c r="F60" s="340"/>
      <c r="G60" s="338"/>
      <c r="H60" s="339"/>
      <c r="I60" s="340"/>
      <c r="J60" s="338"/>
      <c r="K60" s="340"/>
      <c r="L60" s="980"/>
      <c r="M60" s="981"/>
      <c r="N60" s="339"/>
    </row>
    <row r="61" spans="1:14" ht="12.75">
      <c r="A61" s="301" t="s">
        <v>6</v>
      </c>
      <c r="B61" s="948" t="s">
        <v>334</v>
      </c>
      <c r="C61" s="949"/>
      <c r="D61" s="949"/>
      <c r="E61" s="950"/>
      <c r="F61" s="340"/>
      <c r="G61" s="338"/>
      <c r="H61" s="339"/>
      <c r="I61" s="340"/>
      <c r="J61" s="338"/>
      <c r="K61" s="340"/>
      <c r="L61" s="980"/>
      <c r="M61" s="981"/>
      <c r="N61" s="339"/>
    </row>
    <row r="62" spans="1:14" ht="12.75">
      <c r="A62" s="301" t="s">
        <v>7</v>
      </c>
      <c r="B62" s="948" t="s">
        <v>335</v>
      </c>
      <c r="C62" s="949"/>
      <c r="D62" s="949"/>
      <c r="E62" s="950"/>
      <c r="F62" s="340"/>
      <c r="G62" s="338"/>
      <c r="H62" s="339"/>
      <c r="I62" s="340">
        <v>283</v>
      </c>
      <c r="J62" s="338">
        <v>1000</v>
      </c>
      <c r="K62" s="340">
        <v>1000</v>
      </c>
      <c r="L62" s="980"/>
      <c r="M62" s="981"/>
      <c r="N62" s="339">
        <v>63</v>
      </c>
    </row>
    <row r="63" spans="1:14" ht="12.75">
      <c r="A63" s="301" t="s">
        <v>8</v>
      </c>
      <c r="B63" s="948" t="s">
        <v>336</v>
      </c>
      <c r="C63" s="951"/>
      <c r="D63" s="951"/>
      <c r="E63" s="952"/>
      <c r="F63" s="340"/>
      <c r="G63" s="338"/>
      <c r="H63" s="339"/>
      <c r="I63" s="340"/>
      <c r="J63" s="338"/>
      <c r="K63" s="340"/>
      <c r="L63" s="980"/>
      <c r="M63" s="981"/>
      <c r="N63" s="339">
        <v>3</v>
      </c>
    </row>
    <row r="64" spans="1:14" ht="12.75">
      <c r="A64" s="301" t="s">
        <v>9</v>
      </c>
      <c r="B64" s="948" t="s">
        <v>337</v>
      </c>
      <c r="C64" s="953"/>
      <c r="D64" s="953"/>
      <c r="E64" s="954"/>
      <c r="F64" s="340"/>
      <c r="G64" s="338"/>
      <c r="H64" s="339"/>
      <c r="I64" s="340"/>
      <c r="J64" s="338"/>
      <c r="K64" s="340"/>
      <c r="L64" s="980"/>
      <c r="M64" s="981"/>
      <c r="N64" s="339">
        <v>14</v>
      </c>
    </row>
    <row r="65" spans="1:14" ht="13.5" thickBot="1">
      <c r="A65" s="729">
        <v>8</v>
      </c>
      <c r="B65" s="423" t="s">
        <v>339</v>
      </c>
      <c r="C65" s="424"/>
      <c r="D65" s="424"/>
      <c r="E65" s="425"/>
      <c r="F65" s="354"/>
      <c r="G65" s="436"/>
      <c r="H65" s="439"/>
      <c r="I65" s="354"/>
      <c r="J65" s="436"/>
      <c r="K65" s="439"/>
      <c r="L65" s="982"/>
      <c r="M65" s="983"/>
      <c r="N65" s="437"/>
    </row>
    <row r="66" spans="1:14" ht="14.25" thickBot="1" thickTop="1">
      <c r="A66" s="331">
        <v>9</v>
      </c>
      <c r="B66" s="964" t="s">
        <v>262</v>
      </c>
      <c r="C66" s="965"/>
      <c r="D66" s="965"/>
      <c r="E66" s="966"/>
      <c r="F66" s="588">
        <f aca="true" t="shared" si="6" ref="F66:K66">SUM(F58:F65)</f>
        <v>0</v>
      </c>
      <c r="G66" s="611">
        <f t="shared" si="6"/>
        <v>0</v>
      </c>
      <c r="H66" s="612">
        <f t="shared" si="6"/>
        <v>0</v>
      </c>
      <c r="I66" s="588">
        <f t="shared" si="6"/>
        <v>583</v>
      </c>
      <c r="J66" s="611">
        <f t="shared" si="6"/>
        <v>1000</v>
      </c>
      <c r="K66" s="612">
        <f t="shared" si="6"/>
        <v>1000</v>
      </c>
      <c r="L66" s="984">
        <f>SUM(L58:M65)</f>
        <v>0</v>
      </c>
      <c r="M66" s="985"/>
      <c r="N66" s="612">
        <f>SUM(N58:N65)</f>
        <v>91</v>
      </c>
    </row>
    <row r="67" ht="13.5" thickTop="1"/>
    <row r="73" ht="13.5" thickBot="1"/>
    <row r="74" spans="1:14" ht="13.5" thickTop="1">
      <c r="A74" s="920" t="s">
        <v>248</v>
      </c>
      <c r="B74" s="922" t="s">
        <v>249</v>
      </c>
      <c r="C74" s="922"/>
      <c r="D74" s="922"/>
      <c r="E74" s="923"/>
      <c r="F74" s="926" t="s">
        <v>38</v>
      </c>
      <c r="G74" s="927"/>
      <c r="H74" s="928"/>
      <c r="I74" s="902" t="s">
        <v>251</v>
      </c>
      <c r="J74" s="903"/>
      <c r="K74" s="903"/>
      <c r="L74" s="903"/>
      <c r="M74" s="903"/>
      <c r="N74" s="904"/>
    </row>
    <row r="75" spans="1:14" ht="13.5" thickBot="1">
      <c r="A75" s="921"/>
      <c r="B75" s="924"/>
      <c r="C75" s="924"/>
      <c r="D75" s="924"/>
      <c r="E75" s="925"/>
      <c r="F75" s="905"/>
      <c r="G75" s="906"/>
      <c r="H75" s="901"/>
      <c r="I75" s="897" t="s">
        <v>338</v>
      </c>
      <c r="J75" s="898"/>
      <c r="K75" s="899"/>
      <c r="L75" s="900" t="s">
        <v>143</v>
      </c>
      <c r="M75" s="929"/>
      <c r="N75" s="930"/>
    </row>
    <row r="76" spans="1:14" ht="13.5" thickTop="1">
      <c r="A76" s="921"/>
      <c r="B76" s="924"/>
      <c r="C76" s="924"/>
      <c r="D76" s="924"/>
      <c r="E76" s="925"/>
      <c r="F76" s="974" t="s">
        <v>253</v>
      </c>
      <c r="G76" s="934" t="s">
        <v>265</v>
      </c>
      <c r="H76" s="937" t="s">
        <v>266</v>
      </c>
      <c r="I76" s="937" t="s">
        <v>253</v>
      </c>
      <c r="J76" s="934" t="s">
        <v>265</v>
      </c>
      <c r="K76" s="937" t="s">
        <v>266</v>
      </c>
      <c r="L76" s="937" t="s">
        <v>253</v>
      </c>
      <c r="M76" s="934" t="s">
        <v>265</v>
      </c>
      <c r="N76" s="937" t="s">
        <v>266</v>
      </c>
    </row>
    <row r="77" spans="1:14" ht="12.75">
      <c r="A77" s="921"/>
      <c r="B77" s="924"/>
      <c r="C77" s="924"/>
      <c r="D77" s="924"/>
      <c r="E77" s="925"/>
      <c r="F77" s="975"/>
      <c r="G77" s="935"/>
      <c r="H77" s="938"/>
      <c r="I77" s="938"/>
      <c r="J77" s="935"/>
      <c r="K77" s="938"/>
      <c r="L77" s="938"/>
      <c r="M77" s="935"/>
      <c r="N77" s="938"/>
    </row>
    <row r="78" spans="1:14" ht="13.5" thickBot="1">
      <c r="A78" s="921"/>
      <c r="B78" s="940"/>
      <c r="C78" s="941"/>
      <c r="D78" s="941"/>
      <c r="E78" s="942"/>
      <c r="F78" s="976"/>
      <c r="G78" s="936"/>
      <c r="H78" s="939"/>
      <c r="I78" s="939"/>
      <c r="J78" s="936"/>
      <c r="K78" s="939"/>
      <c r="L78" s="939"/>
      <c r="M78" s="936"/>
      <c r="N78" s="939"/>
    </row>
    <row r="79" spans="1:14" ht="13.5" thickTop="1">
      <c r="A79" s="921"/>
      <c r="B79" s="943" t="s">
        <v>3</v>
      </c>
      <c r="C79" s="943"/>
      <c r="D79" s="943"/>
      <c r="E79" s="944"/>
      <c r="F79" s="361" t="s">
        <v>4</v>
      </c>
      <c r="G79" s="358" t="s">
        <v>6</v>
      </c>
      <c r="H79" s="360" t="s">
        <v>7</v>
      </c>
      <c r="I79" s="372" t="s">
        <v>8</v>
      </c>
      <c r="J79" s="363" t="s">
        <v>10</v>
      </c>
      <c r="K79" s="359" t="s">
        <v>11</v>
      </c>
      <c r="L79" s="360" t="s">
        <v>12</v>
      </c>
      <c r="M79" s="363" t="s">
        <v>14</v>
      </c>
      <c r="N79" s="359" t="s">
        <v>15</v>
      </c>
    </row>
    <row r="80" spans="1:14" ht="12.75">
      <c r="A80" s="301" t="s">
        <v>3</v>
      </c>
      <c r="B80" s="948" t="s">
        <v>331</v>
      </c>
      <c r="C80" s="949"/>
      <c r="D80" s="949"/>
      <c r="E80" s="950"/>
      <c r="F80" s="302">
        <f aca="true" t="shared" si="7" ref="F80:H86">I80+L80+F100+I100+L100+F120+I120+L120+F137+I137+L137</f>
        <v>14849</v>
      </c>
      <c r="G80" s="303">
        <f t="shared" si="7"/>
        <v>16560</v>
      </c>
      <c r="H80" s="353">
        <f t="shared" si="7"/>
        <v>8730</v>
      </c>
      <c r="I80" s="304">
        <v>14849</v>
      </c>
      <c r="J80" s="305">
        <v>16560</v>
      </c>
      <c r="K80" s="306">
        <v>8730</v>
      </c>
      <c r="L80" s="365"/>
      <c r="M80" s="307"/>
      <c r="N80" s="308"/>
    </row>
    <row r="81" spans="1:14" ht="12.75">
      <c r="A81" s="301" t="s">
        <v>4</v>
      </c>
      <c r="B81" s="948" t="s">
        <v>332</v>
      </c>
      <c r="C81" s="953"/>
      <c r="D81" s="953"/>
      <c r="E81" s="954"/>
      <c r="F81" s="302">
        <f t="shared" si="7"/>
        <v>8253</v>
      </c>
      <c r="G81" s="303">
        <f t="shared" si="7"/>
        <v>7520</v>
      </c>
      <c r="H81" s="353">
        <f t="shared" si="7"/>
        <v>5700</v>
      </c>
      <c r="I81" s="304">
        <v>8253</v>
      </c>
      <c r="J81" s="305">
        <v>7520</v>
      </c>
      <c r="K81" s="306">
        <v>5700</v>
      </c>
      <c r="L81" s="365"/>
      <c r="M81" s="307"/>
      <c r="N81" s="308"/>
    </row>
    <row r="82" spans="1:14" ht="12.75">
      <c r="A82" s="301" t="s">
        <v>5</v>
      </c>
      <c r="B82" s="948" t="s">
        <v>333</v>
      </c>
      <c r="C82" s="949"/>
      <c r="D82" s="949"/>
      <c r="E82" s="950"/>
      <c r="F82" s="302">
        <f t="shared" si="7"/>
        <v>5451</v>
      </c>
      <c r="G82" s="303">
        <f t="shared" si="7"/>
        <v>0</v>
      </c>
      <c r="H82" s="353">
        <f t="shared" si="7"/>
        <v>0</v>
      </c>
      <c r="I82" s="304">
        <v>5451</v>
      </c>
      <c r="J82" s="305"/>
      <c r="K82" s="306"/>
      <c r="L82" s="365"/>
      <c r="M82" s="307"/>
      <c r="N82" s="308"/>
    </row>
    <row r="83" spans="1:14" ht="12.75">
      <c r="A83" s="301" t="s">
        <v>6</v>
      </c>
      <c r="B83" s="948" t="s">
        <v>334</v>
      </c>
      <c r="C83" s="949"/>
      <c r="D83" s="949"/>
      <c r="E83" s="950"/>
      <c r="F83" s="302">
        <f t="shared" si="7"/>
        <v>293224</v>
      </c>
      <c r="G83" s="303">
        <f t="shared" si="7"/>
        <v>315647</v>
      </c>
      <c r="H83" s="353">
        <f t="shared" si="7"/>
        <v>303535</v>
      </c>
      <c r="I83" s="304"/>
      <c r="J83" s="305"/>
      <c r="K83" s="306"/>
      <c r="L83" s="365">
        <v>293224</v>
      </c>
      <c r="M83" s="307">
        <v>315647</v>
      </c>
      <c r="N83" s="308">
        <v>303535</v>
      </c>
    </row>
    <row r="84" spans="1:14" ht="12.75">
      <c r="A84" s="301" t="s">
        <v>7</v>
      </c>
      <c r="B84" s="948" t="s">
        <v>335</v>
      </c>
      <c r="C84" s="949"/>
      <c r="D84" s="949"/>
      <c r="E84" s="950"/>
      <c r="F84" s="302">
        <f t="shared" si="7"/>
        <v>2856</v>
      </c>
      <c r="G84" s="303">
        <f t="shared" si="7"/>
        <v>3430</v>
      </c>
      <c r="H84" s="353">
        <f t="shared" si="7"/>
        <v>2230</v>
      </c>
      <c r="I84" s="304">
        <v>2</v>
      </c>
      <c r="J84" s="305">
        <v>3430</v>
      </c>
      <c r="K84" s="306">
        <v>2230</v>
      </c>
      <c r="L84" s="365">
        <v>2854</v>
      </c>
      <c r="M84" s="307"/>
      <c r="N84" s="308"/>
    </row>
    <row r="85" spans="1:14" ht="12.75">
      <c r="A85" s="301" t="s">
        <v>8</v>
      </c>
      <c r="B85" s="948" t="s">
        <v>336</v>
      </c>
      <c r="C85" s="951"/>
      <c r="D85" s="951"/>
      <c r="E85" s="952"/>
      <c r="F85" s="302">
        <f t="shared" si="7"/>
        <v>0</v>
      </c>
      <c r="G85" s="303">
        <f t="shared" si="7"/>
        <v>0</v>
      </c>
      <c r="H85" s="353">
        <f t="shared" si="7"/>
        <v>0</v>
      </c>
      <c r="I85" s="304"/>
      <c r="J85" s="305"/>
      <c r="K85" s="306"/>
      <c r="L85" s="365"/>
      <c r="M85" s="307"/>
      <c r="N85" s="308"/>
    </row>
    <row r="86" spans="1:14" ht="12.75">
      <c r="A86" s="301" t="s">
        <v>9</v>
      </c>
      <c r="B86" s="948" t="s">
        <v>337</v>
      </c>
      <c r="C86" s="953"/>
      <c r="D86" s="953"/>
      <c r="E86" s="954"/>
      <c r="F86" s="302">
        <f t="shared" si="7"/>
        <v>0</v>
      </c>
      <c r="G86" s="303">
        <f t="shared" si="7"/>
        <v>0</v>
      </c>
      <c r="H86" s="353">
        <f t="shared" si="7"/>
        <v>0</v>
      </c>
      <c r="I86" s="304"/>
      <c r="J86" s="305"/>
      <c r="K86" s="306"/>
      <c r="L86" s="365"/>
      <c r="M86" s="307"/>
      <c r="N86" s="308"/>
    </row>
    <row r="87" spans="1:14" ht="12.75">
      <c r="A87" s="309">
        <v>8</v>
      </c>
      <c r="B87" s="423" t="s">
        <v>339</v>
      </c>
      <c r="C87" s="424"/>
      <c r="D87" s="424"/>
      <c r="E87" s="425"/>
      <c r="F87" s="302"/>
      <c r="G87" s="432"/>
      <c r="H87" s="353"/>
      <c r="I87" s="433"/>
      <c r="J87" s="434"/>
      <c r="K87" s="310"/>
      <c r="L87" s="366"/>
      <c r="M87" s="435"/>
      <c r="N87" s="311"/>
    </row>
    <row r="88" spans="1:14" ht="12.75">
      <c r="A88" s="309">
        <v>9</v>
      </c>
      <c r="B88" s="423" t="s">
        <v>375</v>
      </c>
      <c r="C88" s="424"/>
      <c r="D88" s="424"/>
      <c r="E88" s="425"/>
      <c r="F88" s="302">
        <v>131</v>
      </c>
      <c r="G88" s="432"/>
      <c r="H88" s="353"/>
      <c r="I88" s="433"/>
      <c r="J88" s="434"/>
      <c r="K88" s="310"/>
      <c r="L88" s="366"/>
      <c r="M88" s="435"/>
      <c r="N88" s="311"/>
    </row>
    <row r="89" spans="1:14" ht="13.5" thickBot="1">
      <c r="A89" s="309"/>
      <c r="B89" s="977"/>
      <c r="C89" s="978"/>
      <c r="D89" s="978"/>
      <c r="E89" s="979"/>
      <c r="F89" s="302"/>
      <c r="G89" s="362"/>
      <c r="H89" s="353"/>
      <c r="I89" s="373"/>
      <c r="J89" s="364"/>
      <c r="K89" s="310"/>
      <c r="L89" s="366"/>
      <c r="M89" s="367"/>
      <c r="N89" s="311"/>
    </row>
    <row r="90" spans="1:14" ht="14.25" thickBot="1" thickTop="1">
      <c r="A90" s="312">
        <v>10</v>
      </c>
      <c r="B90" s="313" t="s">
        <v>524</v>
      </c>
      <c r="C90" s="314"/>
      <c r="D90" s="314"/>
      <c r="E90" s="315"/>
      <c r="F90" s="316">
        <f aca="true" t="shared" si="8" ref="F90:N90">SUM(F80:F89)</f>
        <v>324764</v>
      </c>
      <c r="G90" s="317">
        <f t="shared" si="8"/>
        <v>343157</v>
      </c>
      <c r="H90" s="318">
        <f t="shared" si="8"/>
        <v>320195</v>
      </c>
      <c r="I90" s="319">
        <f t="shared" si="8"/>
        <v>28555</v>
      </c>
      <c r="J90" s="317">
        <f t="shared" si="8"/>
        <v>27510</v>
      </c>
      <c r="K90" s="318">
        <f t="shared" si="8"/>
        <v>16660</v>
      </c>
      <c r="L90" s="320">
        <f t="shared" si="8"/>
        <v>296078</v>
      </c>
      <c r="M90" s="317">
        <f t="shared" si="8"/>
        <v>315647</v>
      </c>
      <c r="N90" s="318">
        <f t="shared" si="8"/>
        <v>303535</v>
      </c>
    </row>
    <row r="91" ht="13.5" thickTop="1"/>
  </sheetData>
  <sheetProtection sheet="1"/>
  <mergeCells count="131">
    <mergeCell ref="L59:M59"/>
    <mergeCell ref="L61:M61"/>
    <mergeCell ref="L60:M60"/>
    <mergeCell ref="L62:M62"/>
    <mergeCell ref="L63:M63"/>
    <mergeCell ref="L64:M64"/>
    <mergeCell ref="L65:M65"/>
    <mergeCell ref="L66:M66"/>
    <mergeCell ref="B89:E89"/>
    <mergeCell ref="B80:E80"/>
    <mergeCell ref="B81:E81"/>
    <mergeCell ref="B82:E82"/>
    <mergeCell ref="B83:E83"/>
    <mergeCell ref="B85:E85"/>
    <mergeCell ref="G76:G78"/>
    <mergeCell ref="H76:H78"/>
    <mergeCell ref="B86:E86"/>
    <mergeCell ref="L76:L78"/>
    <mergeCell ref="F74:H75"/>
    <mergeCell ref="I76:I78"/>
    <mergeCell ref="B84:E84"/>
    <mergeCell ref="A74:A79"/>
    <mergeCell ref="B74:E77"/>
    <mergeCell ref="J76:J78"/>
    <mergeCell ref="K76:K78"/>
    <mergeCell ref="B79:E79"/>
    <mergeCell ref="B63:E63"/>
    <mergeCell ref="B64:E64"/>
    <mergeCell ref="B78:E78"/>
    <mergeCell ref="I74:N74"/>
    <mergeCell ref="I75:K75"/>
    <mergeCell ref="L75:N75"/>
    <mergeCell ref="F76:F78"/>
    <mergeCell ref="M76:M78"/>
    <mergeCell ref="N76:N78"/>
    <mergeCell ref="B66:E66"/>
    <mergeCell ref="B59:E59"/>
    <mergeCell ref="B60:E60"/>
    <mergeCell ref="B61:E61"/>
    <mergeCell ref="B62:E62"/>
    <mergeCell ref="N55:N57"/>
    <mergeCell ref="B57:E57"/>
    <mergeCell ref="B58:E58"/>
    <mergeCell ref="I55:I57"/>
    <mergeCell ref="J55:J57"/>
    <mergeCell ref="K55:K57"/>
    <mergeCell ref="L55:M57"/>
    <mergeCell ref="L58:M58"/>
    <mergeCell ref="B51:E51"/>
    <mergeCell ref="A53:A57"/>
    <mergeCell ref="B53:E56"/>
    <mergeCell ref="F53:N53"/>
    <mergeCell ref="F54:H54"/>
    <mergeCell ref="I54:K54"/>
    <mergeCell ref="L54:N54"/>
    <mergeCell ref="F55:F57"/>
    <mergeCell ref="G55:G57"/>
    <mergeCell ref="H55:H57"/>
    <mergeCell ref="B48:E48"/>
    <mergeCell ref="B49:E49"/>
    <mergeCell ref="B44:E44"/>
    <mergeCell ref="B45:E45"/>
    <mergeCell ref="B46:E46"/>
    <mergeCell ref="B47:E47"/>
    <mergeCell ref="M40:M42"/>
    <mergeCell ref="N40:N42"/>
    <mergeCell ref="B42:E42"/>
    <mergeCell ref="B43:E43"/>
    <mergeCell ref="I40:I42"/>
    <mergeCell ref="J40:J42"/>
    <mergeCell ref="K40:K42"/>
    <mergeCell ref="L40:L42"/>
    <mergeCell ref="B33:E33"/>
    <mergeCell ref="A38:A42"/>
    <mergeCell ref="B38:E41"/>
    <mergeCell ref="F38:N38"/>
    <mergeCell ref="F39:H39"/>
    <mergeCell ref="I39:K39"/>
    <mergeCell ref="L39:N39"/>
    <mergeCell ref="F40:F42"/>
    <mergeCell ref="G40:G42"/>
    <mergeCell ref="H40:H42"/>
    <mergeCell ref="B31:E31"/>
    <mergeCell ref="B32:E32"/>
    <mergeCell ref="B27:E27"/>
    <mergeCell ref="B28:E28"/>
    <mergeCell ref="B29:E29"/>
    <mergeCell ref="B30:E30"/>
    <mergeCell ref="B25:E25"/>
    <mergeCell ref="B26:E26"/>
    <mergeCell ref="J22:J24"/>
    <mergeCell ref="K22:K24"/>
    <mergeCell ref="F22:F24"/>
    <mergeCell ref="G22:G24"/>
    <mergeCell ref="H22:H24"/>
    <mergeCell ref="I22:I24"/>
    <mergeCell ref="N22:N24"/>
    <mergeCell ref="L22:L24"/>
    <mergeCell ref="M22:M24"/>
    <mergeCell ref="A20:A24"/>
    <mergeCell ref="B20:E23"/>
    <mergeCell ref="F20:N20"/>
    <mergeCell ref="F21:H21"/>
    <mergeCell ref="I21:K21"/>
    <mergeCell ref="L21:N21"/>
    <mergeCell ref="B9:E9"/>
    <mergeCell ref="B10:E10"/>
    <mergeCell ref="B11:E11"/>
    <mergeCell ref="B12:E12"/>
    <mergeCell ref="B13:E13"/>
    <mergeCell ref="B14:E14"/>
    <mergeCell ref="B15:E15"/>
    <mergeCell ref="B24:E24"/>
    <mergeCell ref="M5:M7"/>
    <mergeCell ref="N5:N7"/>
    <mergeCell ref="B7:E7"/>
    <mergeCell ref="B8:E8"/>
    <mergeCell ref="I5:I7"/>
    <mergeCell ref="J5:J7"/>
    <mergeCell ref="K5:K7"/>
    <mergeCell ref="L5:L7"/>
    <mergeCell ref="A1:N1"/>
    <mergeCell ref="A3:A8"/>
    <mergeCell ref="B3:E6"/>
    <mergeCell ref="F3:H4"/>
    <mergeCell ref="I3:N3"/>
    <mergeCell ref="I4:K4"/>
    <mergeCell ref="L4:N4"/>
    <mergeCell ref="F5:F7"/>
    <mergeCell ref="G5:G7"/>
    <mergeCell ref="H5:H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&amp;CHalászy Károly Általános Iskola 2008. évi előirányzatai szakfeladatonként
&amp;R4/a. sz. melléklet
</oddHeader>
  </headerFooter>
  <ignoredErrors>
    <ignoredError sqref="A9:A17 B8 G8:N8 A25:A33 A43:A51 A58:A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4:G31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6.125" style="0" customWidth="1"/>
    <col min="2" max="2" width="31.00390625" style="0" customWidth="1"/>
    <col min="3" max="3" width="9.875" style="0" customWidth="1"/>
    <col min="4" max="4" width="11.125" style="0" customWidth="1"/>
    <col min="5" max="5" width="11.375" style="0" customWidth="1"/>
    <col min="6" max="6" width="12.50390625" style="0" customWidth="1"/>
    <col min="7" max="7" width="13.125" style="0" customWidth="1"/>
  </cols>
  <sheetData>
    <row r="4" spans="1:6" ht="15.75">
      <c r="A4" s="908" t="s">
        <v>0</v>
      </c>
      <c r="B4" s="908"/>
      <c r="C4" s="908"/>
      <c r="D4" s="908"/>
      <c r="E4" s="908"/>
      <c r="F4" s="908"/>
    </row>
    <row r="5" spans="1:6" ht="16.5" thickBot="1">
      <c r="A5" s="7"/>
      <c r="B5" s="7"/>
      <c r="C5" s="7"/>
      <c r="D5" s="7"/>
      <c r="E5" s="907" t="s">
        <v>37</v>
      </c>
      <c r="F5" s="907"/>
    </row>
    <row r="6" spans="1:7" ht="13.5" thickBot="1">
      <c r="A6" s="988" t="s">
        <v>1</v>
      </c>
      <c r="B6" s="990" t="s">
        <v>2</v>
      </c>
      <c r="C6" s="992" t="s">
        <v>195</v>
      </c>
      <c r="D6" s="993"/>
      <c r="E6" s="993"/>
      <c r="F6" s="993"/>
      <c r="G6" s="994"/>
    </row>
    <row r="7" spans="1:7" ht="36.75" thickBot="1">
      <c r="A7" s="989"/>
      <c r="B7" s="991"/>
      <c r="C7" s="587" t="s">
        <v>151</v>
      </c>
      <c r="D7" s="587" t="s">
        <v>136</v>
      </c>
      <c r="E7" s="587" t="s">
        <v>357</v>
      </c>
      <c r="F7" s="587" t="s">
        <v>329</v>
      </c>
      <c r="G7" s="587" t="s">
        <v>153</v>
      </c>
    </row>
    <row r="8" spans="1:7" ht="13.5" thickBot="1">
      <c r="A8" s="279">
        <v>1</v>
      </c>
      <c r="B8" s="280">
        <v>2</v>
      </c>
      <c r="C8" s="785"/>
      <c r="D8" s="785">
        <v>4</v>
      </c>
      <c r="E8" s="785">
        <v>5</v>
      </c>
      <c r="F8" s="785">
        <v>6</v>
      </c>
      <c r="G8" s="786"/>
    </row>
    <row r="9" spans="1:7" ht="26.25" thickBot="1">
      <c r="A9" s="239" t="s">
        <v>3</v>
      </c>
      <c r="B9" s="784" t="s">
        <v>221</v>
      </c>
      <c r="C9" s="787">
        <f>SUM(C10:C12)</f>
        <v>12979</v>
      </c>
      <c r="D9" s="787">
        <f>SUM(D10:D12)</f>
        <v>14100</v>
      </c>
      <c r="E9" s="787">
        <f>SUM(E10:E12)</f>
        <v>14100</v>
      </c>
      <c r="F9" s="787">
        <f>SUM(F10:F12)</f>
        <v>8825</v>
      </c>
      <c r="G9" s="788">
        <f>SUM(G10:G12)</f>
        <v>7050</v>
      </c>
    </row>
    <row r="10" spans="1:7" ht="12.75">
      <c r="A10" s="242" t="s">
        <v>118</v>
      </c>
      <c r="B10" s="243" t="s">
        <v>237</v>
      </c>
      <c r="C10" s="397">
        <v>10909</v>
      </c>
      <c r="D10" s="244">
        <v>11000</v>
      </c>
      <c r="E10" s="244">
        <v>11000</v>
      </c>
      <c r="F10" s="245">
        <v>6480</v>
      </c>
      <c r="G10" s="627">
        <v>4500</v>
      </c>
    </row>
    <row r="11" spans="1:7" ht="25.5">
      <c r="A11" s="281" t="s">
        <v>119</v>
      </c>
      <c r="B11" s="282" t="s">
        <v>238</v>
      </c>
      <c r="C11" s="398">
        <v>758</v>
      </c>
      <c r="D11" s="283">
        <v>1300</v>
      </c>
      <c r="E11" s="283">
        <v>1300</v>
      </c>
      <c r="F11" s="284">
        <v>874</v>
      </c>
      <c r="G11" s="627">
        <v>1000</v>
      </c>
    </row>
    <row r="12" spans="1:7" ht="13.5" thickBot="1">
      <c r="A12" s="285" t="s">
        <v>120</v>
      </c>
      <c r="B12" s="278" t="s">
        <v>222</v>
      </c>
      <c r="C12" s="399">
        <v>1312</v>
      </c>
      <c r="D12" s="286">
        <v>1800</v>
      </c>
      <c r="E12" s="286">
        <v>1800</v>
      </c>
      <c r="F12" s="287">
        <v>1471</v>
      </c>
      <c r="G12" s="627">
        <v>1550</v>
      </c>
    </row>
    <row r="13" spans="1:7" ht="26.25" thickBot="1">
      <c r="A13" s="239" t="s">
        <v>4</v>
      </c>
      <c r="B13" s="240" t="s">
        <v>224</v>
      </c>
      <c r="C13" s="250">
        <v>137617</v>
      </c>
      <c r="D13" s="250">
        <v>149404</v>
      </c>
      <c r="E13" s="250">
        <v>151636</v>
      </c>
      <c r="F13" s="250">
        <v>133193</v>
      </c>
      <c r="G13" s="628">
        <f>150715-321</f>
        <v>150394</v>
      </c>
    </row>
    <row r="14" spans="1:7" ht="13.5" thickBot="1">
      <c r="A14" s="239" t="s">
        <v>5</v>
      </c>
      <c r="B14" s="240" t="s">
        <v>228</v>
      </c>
      <c r="C14" s="250">
        <f>C9+C13</f>
        <v>150596</v>
      </c>
      <c r="D14" s="250">
        <f>D9+D13</f>
        <v>163504</v>
      </c>
      <c r="E14" s="250">
        <f>E9+E13</f>
        <v>165736</v>
      </c>
      <c r="F14" s="250">
        <f>F9+F13</f>
        <v>142018</v>
      </c>
      <c r="G14" s="628">
        <f>G9+G13</f>
        <v>157444</v>
      </c>
    </row>
    <row r="15" spans="1:7" ht="12.75">
      <c r="A15" s="252"/>
      <c r="B15" s="252"/>
      <c r="C15" s="252"/>
      <c r="D15" s="253"/>
      <c r="E15" s="253"/>
      <c r="F15" s="253"/>
      <c r="G15" s="288"/>
    </row>
    <row r="16" spans="1:7" ht="12.75">
      <c r="A16" s="252"/>
      <c r="B16" s="252"/>
      <c r="C16" s="252"/>
      <c r="D16" s="253"/>
      <c r="E16" s="253"/>
      <c r="F16" s="253"/>
      <c r="G16" s="288"/>
    </row>
    <row r="17" spans="1:7" ht="12.75">
      <c r="A17" s="252"/>
      <c r="B17" s="252"/>
      <c r="C17" s="252"/>
      <c r="D17" s="253"/>
      <c r="E17" s="253"/>
      <c r="F17" s="253"/>
      <c r="G17" s="288"/>
    </row>
    <row r="18" spans="1:7" ht="15.75">
      <c r="A18" s="986" t="s">
        <v>526</v>
      </c>
      <c r="B18" s="987"/>
      <c r="C18" s="987"/>
      <c r="D18" s="987"/>
      <c r="E18" s="987"/>
      <c r="F18" s="987"/>
      <c r="G18" s="289"/>
    </row>
    <row r="19" spans="1:7" ht="14.25" thickBot="1">
      <c r="A19" s="256"/>
      <c r="B19" s="256"/>
      <c r="C19" s="256"/>
      <c r="D19" s="256"/>
      <c r="E19" s="907" t="s">
        <v>37</v>
      </c>
      <c r="F19" s="907"/>
      <c r="G19" s="289"/>
    </row>
    <row r="20" spans="1:7" ht="13.5" thickBot="1">
      <c r="A20" s="911" t="s">
        <v>1</v>
      </c>
      <c r="B20" s="913" t="s">
        <v>230</v>
      </c>
      <c r="C20" s="915" t="s">
        <v>195</v>
      </c>
      <c r="D20" s="916"/>
      <c r="E20" s="916"/>
      <c r="F20" s="916"/>
      <c r="G20" s="917"/>
    </row>
    <row r="21" spans="1:7" ht="47.25" customHeight="1" thickBot="1">
      <c r="A21" s="912"/>
      <c r="B21" s="914"/>
      <c r="C21" s="587" t="s">
        <v>151</v>
      </c>
      <c r="D21" s="587" t="s">
        <v>136</v>
      </c>
      <c r="E21" s="587" t="s">
        <v>152</v>
      </c>
      <c r="F21" s="587" t="s">
        <v>329</v>
      </c>
      <c r="G21" s="587" t="s">
        <v>153</v>
      </c>
    </row>
    <row r="22" spans="1:7" ht="13.5" thickBot="1">
      <c r="A22" s="258"/>
      <c r="B22" s="789" t="s">
        <v>553</v>
      </c>
      <c r="C22" s="790"/>
      <c r="D22" s="791">
        <f>SUM(D23:D30)</f>
        <v>163504</v>
      </c>
      <c r="E22" s="791">
        <f>SUM(E23:E30)</f>
        <v>165736</v>
      </c>
      <c r="F22" s="792">
        <f>SUM(F23:F30)</f>
        <v>142018</v>
      </c>
      <c r="G22" s="792">
        <f>SUM(G23:G30)</f>
        <v>157444</v>
      </c>
    </row>
    <row r="23" spans="1:7" ht="12.75">
      <c r="A23" s="742" t="s">
        <v>525</v>
      </c>
      <c r="B23" s="262" t="s">
        <v>31</v>
      </c>
      <c r="C23" s="392">
        <v>86567</v>
      </c>
      <c r="D23" s="263">
        <f>90663+2022</f>
        <v>92685</v>
      </c>
      <c r="E23" s="263">
        <f>92111+2022</f>
        <v>94133</v>
      </c>
      <c r="F23" s="264">
        <v>82738</v>
      </c>
      <c r="G23" s="632">
        <f>94915-321</f>
        <v>94594</v>
      </c>
    </row>
    <row r="24" spans="1:7" ht="25.5">
      <c r="A24" s="744" t="s">
        <v>386</v>
      </c>
      <c r="B24" s="247" t="s">
        <v>32</v>
      </c>
      <c r="C24" s="393">
        <v>28873</v>
      </c>
      <c r="D24" s="265">
        <v>29538</v>
      </c>
      <c r="E24" s="265">
        <v>29958</v>
      </c>
      <c r="F24" s="266">
        <v>26688</v>
      </c>
      <c r="G24" s="629">
        <v>30192</v>
      </c>
    </row>
    <row r="25" spans="1:7" ht="12.75">
      <c r="A25" s="744" t="s">
        <v>387</v>
      </c>
      <c r="B25" s="247" t="s">
        <v>239</v>
      </c>
      <c r="C25" s="394">
        <v>17196</v>
      </c>
      <c r="D25" s="267">
        <v>20704</v>
      </c>
      <c r="E25" s="267">
        <v>21167</v>
      </c>
      <c r="F25" s="268">
        <v>16233</v>
      </c>
      <c r="G25" s="629">
        <v>13122</v>
      </c>
    </row>
    <row r="26" spans="1:7" ht="12.75">
      <c r="A26" s="744" t="s">
        <v>388</v>
      </c>
      <c r="B26" s="269" t="s">
        <v>174</v>
      </c>
      <c r="C26" s="395">
        <v>9492</v>
      </c>
      <c r="D26" s="267">
        <v>10722</v>
      </c>
      <c r="E26" s="267">
        <v>10722</v>
      </c>
      <c r="F26" s="268">
        <v>8487</v>
      </c>
      <c r="G26" s="629">
        <v>11754</v>
      </c>
    </row>
    <row r="27" spans="1:7" ht="12.75">
      <c r="A27" s="744" t="s">
        <v>389</v>
      </c>
      <c r="B27" s="269" t="s">
        <v>175</v>
      </c>
      <c r="C27" s="393">
        <v>7972</v>
      </c>
      <c r="D27" s="267">
        <v>8205</v>
      </c>
      <c r="E27" s="267">
        <v>8106</v>
      </c>
      <c r="F27" s="268">
        <v>7091</v>
      </c>
      <c r="G27" s="629">
        <v>6132</v>
      </c>
    </row>
    <row r="28" spans="1:7" ht="12.75">
      <c r="A28" s="743" t="s">
        <v>390</v>
      </c>
      <c r="B28" s="290" t="s">
        <v>240</v>
      </c>
      <c r="C28" s="393">
        <v>225</v>
      </c>
      <c r="D28" s="267">
        <v>400</v>
      </c>
      <c r="E28" s="267">
        <v>400</v>
      </c>
      <c r="F28" s="268">
        <v>387</v>
      </c>
      <c r="G28" s="630">
        <v>400</v>
      </c>
    </row>
    <row r="29" spans="1:7" ht="12.75">
      <c r="A29" s="743" t="s">
        <v>231</v>
      </c>
      <c r="B29" s="290" t="s">
        <v>241</v>
      </c>
      <c r="C29" s="393">
        <v>271</v>
      </c>
      <c r="D29" s="267">
        <v>250</v>
      </c>
      <c r="E29" s="267">
        <v>250</v>
      </c>
      <c r="F29" s="268"/>
      <c r="G29" s="630">
        <v>1000</v>
      </c>
    </row>
    <row r="30" spans="1:7" ht="13.5" thickBot="1">
      <c r="A30" s="743" t="s">
        <v>391</v>
      </c>
      <c r="B30" s="243" t="s">
        <v>242</v>
      </c>
      <c r="C30" s="396"/>
      <c r="D30" s="291">
        <f>600+400</f>
        <v>1000</v>
      </c>
      <c r="E30" s="291">
        <v>1000</v>
      </c>
      <c r="F30" s="291">
        <v>394</v>
      </c>
      <c r="G30" s="630">
        <v>250</v>
      </c>
    </row>
    <row r="31" spans="1:7" ht="13.5" thickBot="1">
      <c r="A31" s="235">
        <v>9</v>
      </c>
      <c r="B31" s="275" t="s">
        <v>243</v>
      </c>
      <c r="C31" s="276">
        <f>SUM(C23:C30)</f>
        <v>150596</v>
      </c>
      <c r="D31" s="276">
        <f>SUM(D23:D30)</f>
        <v>163504</v>
      </c>
      <c r="E31" s="276">
        <f>SUM(E23:E30)</f>
        <v>165736</v>
      </c>
      <c r="F31" s="276">
        <f>SUM(F23:F30)</f>
        <v>142018</v>
      </c>
      <c r="G31" s="631">
        <f>G22</f>
        <v>157444</v>
      </c>
    </row>
  </sheetData>
  <sheetProtection sheet="1"/>
  <mergeCells count="10">
    <mergeCell ref="A18:F18"/>
    <mergeCell ref="A4:F4"/>
    <mergeCell ref="E19:F19"/>
    <mergeCell ref="A20:A21"/>
    <mergeCell ref="B20:B21"/>
    <mergeCell ref="C20:G20"/>
    <mergeCell ref="E5:F5"/>
    <mergeCell ref="A6:A7"/>
    <mergeCell ref="B6:B7"/>
    <mergeCell ref="C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&amp;CA Nefelejcs Napköziotthonos Központi Óvoda
2008. ÉVI KÖLTSÉGVETÉSÉNEK PÉNZÜGYI MÉRLEGE&amp;R5. számú melléklet
</oddHeader>
  </headerFooter>
  <ignoredErrors>
    <ignoredError sqref="A23:A31 A9:A14" numberStoredAsText="1"/>
    <ignoredError sqref="C9:G9" formulaRange="1" unlockedFormula="1"/>
    <ignoredError sqref="D3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7">
      <selection activeCell="J10" sqref="J10"/>
    </sheetView>
  </sheetViews>
  <sheetFormatPr defaultColWidth="9.00390625" defaultRowHeight="12.75"/>
  <cols>
    <col min="1" max="1" width="7.50390625" style="0" customWidth="1"/>
    <col min="2" max="2" width="36.00390625" style="0" customWidth="1"/>
    <col min="3" max="3" width="12.00390625" style="0" customWidth="1"/>
    <col min="4" max="5" width="11.125" style="0" customWidth="1"/>
    <col min="6" max="6" width="10.00390625" style="0" customWidth="1"/>
    <col min="7" max="7" width="12.625" style="0" customWidth="1"/>
  </cols>
  <sheetData>
    <row r="2" spans="1:7" ht="15.75">
      <c r="A2" s="60" t="s">
        <v>0</v>
      </c>
      <c r="B2" s="60"/>
      <c r="C2" s="60"/>
      <c r="D2" s="60"/>
      <c r="E2" s="60"/>
      <c r="F2" s="60"/>
      <c r="G2" s="292"/>
    </row>
    <row r="3" spans="1:7" ht="16.5" thickBot="1">
      <c r="A3" s="7"/>
      <c r="B3" s="7"/>
      <c r="C3" s="7"/>
      <c r="D3" s="7"/>
      <c r="E3" s="907" t="s">
        <v>37</v>
      </c>
      <c r="F3" s="907"/>
      <c r="G3" s="292"/>
    </row>
    <row r="4" spans="1:7" ht="13.5" thickBot="1">
      <c r="A4" s="988" t="s">
        <v>1</v>
      </c>
      <c r="B4" s="990" t="s">
        <v>2</v>
      </c>
      <c r="C4" s="992" t="s">
        <v>195</v>
      </c>
      <c r="D4" s="993"/>
      <c r="E4" s="993"/>
      <c r="F4" s="993"/>
      <c r="G4" s="994"/>
    </row>
    <row r="5" spans="1:7" ht="52.5" customHeight="1" thickBot="1">
      <c r="A5" s="989"/>
      <c r="B5" s="991"/>
      <c r="C5" s="587" t="s">
        <v>151</v>
      </c>
      <c r="D5" s="587" t="s">
        <v>136</v>
      </c>
      <c r="E5" s="587" t="s">
        <v>152</v>
      </c>
      <c r="F5" s="587" t="s">
        <v>329</v>
      </c>
      <c r="G5" s="587" t="s">
        <v>153</v>
      </c>
    </row>
    <row r="6" spans="1:7" ht="13.5" thickBot="1">
      <c r="A6" s="279">
        <v>1</v>
      </c>
      <c r="B6" s="280">
        <v>2</v>
      </c>
      <c r="C6" s="785"/>
      <c r="D6" s="785">
        <v>4</v>
      </c>
      <c r="E6" s="785">
        <v>5</v>
      </c>
      <c r="F6" s="785">
        <v>6</v>
      </c>
      <c r="G6" s="793"/>
    </row>
    <row r="7" spans="1:7" ht="13.5" thickBot="1">
      <c r="A7" s="239" t="s">
        <v>3</v>
      </c>
      <c r="B7" s="784" t="s">
        <v>221</v>
      </c>
      <c r="C7" s="794">
        <f>C8</f>
        <v>82</v>
      </c>
      <c r="D7" s="787">
        <f>SUM(D8:D8)</f>
        <v>90</v>
      </c>
      <c r="E7" s="787">
        <f>SUM(E8:E8)</f>
        <v>90</v>
      </c>
      <c r="F7" s="787">
        <f>SUM(F8:F8)</f>
        <v>56</v>
      </c>
      <c r="G7" s="787">
        <f>SUM(G8:G8)</f>
        <v>80</v>
      </c>
    </row>
    <row r="8" spans="1:7" ht="13.5" thickBot="1">
      <c r="A8" s="242" t="s">
        <v>118</v>
      </c>
      <c r="B8" s="243" t="s">
        <v>221</v>
      </c>
      <c r="C8" s="397">
        <v>82</v>
      </c>
      <c r="D8" s="244">
        <v>90</v>
      </c>
      <c r="E8" s="244">
        <v>90</v>
      </c>
      <c r="F8" s="245">
        <v>56</v>
      </c>
      <c r="G8" s="530">
        <v>80</v>
      </c>
    </row>
    <row r="9" spans="1:7" ht="13.5" thickBot="1">
      <c r="A9" s="239" t="s">
        <v>4</v>
      </c>
      <c r="B9" s="240" t="s">
        <v>224</v>
      </c>
      <c r="C9" s="400">
        <f>C10</f>
        <v>9976</v>
      </c>
      <c r="D9" s="250">
        <f>SUM(D10:D10)</f>
        <v>9212</v>
      </c>
      <c r="E9" s="250">
        <f>SUM(E10:E10)</f>
        <v>9392</v>
      </c>
      <c r="F9" s="251">
        <f>SUM(F10:F10)</f>
        <v>8616</v>
      </c>
      <c r="G9" s="592">
        <f>SUM(G10:G10)</f>
        <v>11598</v>
      </c>
    </row>
    <row r="10" spans="1:7" ht="13.5" thickBot="1">
      <c r="A10" s="242" t="s">
        <v>122</v>
      </c>
      <c r="B10" s="243" t="s">
        <v>225</v>
      </c>
      <c r="C10" s="397">
        <v>9976</v>
      </c>
      <c r="D10" s="244">
        <v>9212</v>
      </c>
      <c r="E10" s="244">
        <v>9392</v>
      </c>
      <c r="F10" s="245">
        <v>8616</v>
      </c>
      <c r="G10" s="530">
        <v>11598</v>
      </c>
    </row>
    <row r="11" spans="1:7" ht="21" customHeight="1" thickBot="1">
      <c r="A11" s="239" t="s">
        <v>5</v>
      </c>
      <c r="B11" s="240" t="s">
        <v>228</v>
      </c>
      <c r="C11" s="400">
        <f>C9+C7</f>
        <v>10058</v>
      </c>
      <c r="D11" s="250">
        <f>D7+D9</f>
        <v>9302</v>
      </c>
      <c r="E11" s="250">
        <f>E7+E9</f>
        <v>9482</v>
      </c>
      <c r="F11" s="251">
        <f>F7+F9</f>
        <v>8672</v>
      </c>
      <c r="G11" s="592">
        <f>G7+G9</f>
        <v>11678</v>
      </c>
    </row>
    <row r="12" spans="1:7" ht="12.75">
      <c r="A12" s="255"/>
      <c r="B12" s="255"/>
      <c r="C12" s="255"/>
      <c r="D12" s="255"/>
      <c r="E12" s="255"/>
      <c r="F12" s="255"/>
      <c r="G12" s="293"/>
    </row>
    <row r="13" spans="1:7" ht="12.75">
      <c r="A13" s="255"/>
      <c r="B13" s="255"/>
      <c r="C13" s="255"/>
      <c r="D13" s="255"/>
      <c r="E13" s="255"/>
      <c r="F13" s="255"/>
      <c r="G13" s="293"/>
    </row>
    <row r="14" spans="1:7" ht="12.75">
      <c r="A14" s="255"/>
      <c r="B14" s="255"/>
      <c r="C14" s="255"/>
      <c r="D14" s="255"/>
      <c r="E14" s="255"/>
      <c r="F14" s="255"/>
      <c r="G14" s="293"/>
    </row>
    <row r="15" spans="1:7" ht="12.75">
      <c r="A15" s="255"/>
      <c r="B15" s="255"/>
      <c r="C15" s="255"/>
      <c r="D15" s="255"/>
      <c r="E15" s="255"/>
      <c r="F15" s="255"/>
      <c r="G15" s="293"/>
    </row>
    <row r="16" spans="1:7" ht="12.75">
      <c r="A16" s="255"/>
      <c r="B16" s="255"/>
      <c r="C16" s="255"/>
      <c r="D16" s="255"/>
      <c r="E16" s="255"/>
      <c r="F16" s="255"/>
      <c r="G16" s="293"/>
    </row>
    <row r="17" spans="1:7" ht="12.75">
      <c r="A17" s="255"/>
      <c r="B17" s="255"/>
      <c r="C17" s="255"/>
      <c r="D17" s="255"/>
      <c r="E17" s="255"/>
      <c r="F17" s="255"/>
      <c r="G17" s="293"/>
    </row>
    <row r="18" spans="1:7" ht="12.75">
      <c r="A18" s="255"/>
      <c r="B18" s="255"/>
      <c r="C18" s="255"/>
      <c r="D18" s="255"/>
      <c r="E18" s="255"/>
      <c r="F18" s="255"/>
      <c r="G18" s="293"/>
    </row>
    <row r="19" spans="1:7" ht="12.75">
      <c r="A19" s="910" t="s">
        <v>29</v>
      </c>
      <c r="B19" s="910"/>
      <c r="C19" s="910"/>
      <c r="D19" s="910"/>
      <c r="E19" s="910"/>
      <c r="F19" s="910"/>
      <c r="G19" s="293"/>
    </row>
    <row r="20" spans="1:7" ht="14.25" thickBot="1">
      <c r="A20" s="256"/>
      <c r="B20" s="256"/>
      <c r="C20" s="256"/>
      <c r="D20" s="256"/>
      <c r="E20" s="907" t="s">
        <v>37</v>
      </c>
      <c r="F20" s="907"/>
      <c r="G20" s="293"/>
    </row>
    <row r="21" spans="1:7" ht="13.5" thickBot="1">
      <c r="A21" s="911" t="s">
        <v>1</v>
      </c>
      <c r="B21" s="913" t="s">
        <v>2</v>
      </c>
      <c r="C21" s="915" t="s">
        <v>195</v>
      </c>
      <c r="D21" s="916"/>
      <c r="E21" s="916"/>
      <c r="F21" s="916"/>
      <c r="G21" s="917"/>
    </row>
    <row r="22" spans="1:7" ht="48.75" thickBot="1">
      <c r="A22" s="912"/>
      <c r="B22" s="914"/>
      <c r="C22" s="587" t="s">
        <v>151</v>
      </c>
      <c r="D22" s="587" t="s">
        <v>136</v>
      </c>
      <c r="E22" s="587" t="s">
        <v>365</v>
      </c>
      <c r="F22" s="587" t="s">
        <v>329</v>
      </c>
      <c r="G22" s="587" t="s">
        <v>153</v>
      </c>
    </row>
    <row r="23" spans="1:7" ht="13.5" thickBot="1">
      <c r="A23" s="235">
        <v>1</v>
      </c>
      <c r="B23" s="237">
        <v>2</v>
      </c>
      <c r="C23" s="785"/>
      <c r="D23" s="785">
        <v>4</v>
      </c>
      <c r="E23" s="785">
        <v>5</v>
      </c>
      <c r="F23" s="785">
        <v>6</v>
      </c>
      <c r="G23" s="793"/>
    </row>
    <row r="24" spans="1:7" ht="20.25" customHeight="1" thickBot="1">
      <c r="A24" s="258" t="s">
        <v>3</v>
      </c>
      <c r="B24" s="789" t="s">
        <v>363</v>
      </c>
      <c r="C24" s="791">
        <f>SUM(C25:C29)</f>
        <v>10058</v>
      </c>
      <c r="D24" s="791">
        <f>SUM(D25:D29)</f>
        <v>8570</v>
      </c>
      <c r="E24" s="791">
        <f>SUM(E25:E29)</f>
        <v>8750</v>
      </c>
      <c r="F24" s="791">
        <f>SUM(F25:F29)</f>
        <v>8372</v>
      </c>
      <c r="G24" s="795">
        <f>SUM(G25:G29)</f>
        <v>10478</v>
      </c>
    </row>
    <row r="25" spans="1:7" ht="12.75">
      <c r="A25" s="261" t="s">
        <v>118</v>
      </c>
      <c r="B25" s="262" t="s">
        <v>31</v>
      </c>
      <c r="C25" s="409">
        <v>5775</v>
      </c>
      <c r="D25" s="263">
        <v>4995</v>
      </c>
      <c r="E25" s="263">
        <v>5067</v>
      </c>
      <c r="F25" s="264">
        <v>4731</v>
      </c>
      <c r="G25" s="530">
        <v>5733</v>
      </c>
    </row>
    <row r="26" spans="1:7" ht="12.75">
      <c r="A26" s="246" t="s">
        <v>119</v>
      </c>
      <c r="B26" s="247" t="s">
        <v>32</v>
      </c>
      <c r="C26" s="410">
        <v>1924</v>
      </c>
      <c r="D26" s="265">
        <v>1602</v>
      </c>
      <c r="E26" s="265">
        <v>1623</v>
      </c>
      <c r="F26" s="266">
        <v>1540</v>
      </c>
      <c r="G26" s="531">
        <v>1835</v>
      </c>
    </row>
    <row r="27" spans="1:7" ht="12.75">
      <c r="A27" s="246" t="s">
        <v>120</v>
      </c>
      <c r="B27" s="247" t="s">
        <v>173</v>
      </c>
      <c r="C27" s="399">
        <v>942</v>
      </c>
      <c r="D27" s="267">
        <v>764</v>
      </c>
      <c r="E27" s="267">
        <v>837</v>
      </c>
      <c r="F27" s="268">
        <v>1205</v>
      </c>
      <c r="G27" s="531">
        <v>1388</v>
      </c>
    </row>
    <row r="28" spans="1:7" ht="12.75">
      <c r="A28" s="246" t="s">
        <v>121</v>
      </c>
      <c r="B28" s="269" t="s">
        <v>174</v>
      </c>
      <c r="C28" s="411">
        <v>866</v>
      </c>
      <c r="D28" s="267">
        <v>859</v>
      </c>
      <c r="E28" s="267">
        <v>859</v>
      </c>
      <c r="F28" s="268">
        <v>661</v>
      </c>
      <c r="G28" s="531">
        <v>993</v>
      </c>
    </row>
    <row r="29" spans="1:7" ht="13.5" thickBot="1">
      <c r="A29" s="246" t="s">
        <v>233</v>
      </c>
      <c r="B29" s="247" t="s">
        <v>244</v>
      </c>
      <c r="C29" s="399">
        <v>551</v>
      </c>
      <c r="D29" s="267">
        <v>350</v>
      </c>
      <c r="E29" s="267">
        <v>364</v>
      </c>
      <c r="F29" s="268">
        <v>235</v>
      </c>
      <c r="G29" s="531">
        <v>529</v>
      </c>
    </row>
    <row r="30" spans="1:7" ht="26.25" thickBot="1">
      <c r="A30" s="239" t="s">
        <v>4</v>
      </c>
      <c r="B30" s="275" t="s">
        <v>364</v>
      </c>
      <c r="C30" s="412"/>
      <c r="D30" s="276">
        <f>SUM(D31:D32)</f>
        <v>732</v>
      </c>
      <c r="E30" s="276">
        <f>SUM(E31:E32)</f>
        <v>732</v>
      </c>
      <c r="F30" s="276">
        <f>SUM(F31:F32)</f>
        <v>300</v>
      </c>
      <c r="G30" s="617">
        <f>SUM(G31:G32)</f>
        <v>1200</v>
      </c>
    </row>
    <row r="31" spans="1:7" ht="12.75">
      <c r="A31" s="242" t="s">
        <v>122</v>
      </c>
      <c r="B31" s="243" t="s">
        <v>84</v>
      </c>
      <c r="C31" s="397">
        <v>0</v>
      </c>
      <c r="D31" s="270">
        <v>300</v>
      </c>
      <c r="E31" s="270">
        <v>300</v>
      </c>
      <c r="F31" s="271"/>
      <c r="G31" s="530">
        <v>900</v>
      </c>
    </row>
    <row r="32" spans="1:7" ht="13.5" thickBot="1">
      <c r="A32" s="242" t="s">
        <v>123</v>
      </c>
      <c r="B32" s="247" t="s">
        <v>179</v>
      </c>
      <c r="C32" s="410">
        <v>0</v>
      </c>
      <c r="D32" s="265">
        <v>432</v>
      </c>
      <c r="E32" s="265">
        <v>432</v>
      </c>
      <c r="F32" s="266">
        <v>300</v>
      </c>
      <c r="G32" s="531">
        <v>300</v>
      </c>
    </row>
    <row r="33" spans="1:7" ht="13.5" thickBot="1">
      <c r="A33" s="239" t="s">
        <v>5</v>
      </c>
      <c r="B33" s="275" t="s">
        <v>245</v>
      </c>
      <c r="C33" s="624">
        <v>0</v>
      </c>
      <c r="D33" s="625">
        <v>0</v>
      </c>
      <c r="E33" s="625">
        <v>0</v>
      </c>
      <c r="F33" s="626">
        <v>0</v>
      </c>
      <c r="G33" s="534">
        <v>0</v>
      </c>
    </row>
    <row r="34" spans="1:7" ht="12.75">
      <c r="A34" s="242" t="s">
        <v>96</v>
      </c>
      <c r="B34" s="243" t="s">
        <v>42</v>
      </c>
      <c r="C34" s="397">
        <v>0</v>
      </c>
      <c r="D34" s="620">
        <v>0</v>
      </c>
      <c r="E34" s="620">
        <v>0</v>
      </c>
      <c r="F34" s="621">
        <v>0</v>
      </c>
      <c r="G34" s="530">
        <v>0</v>
      </c>
    </row>
    <row r="35" spans="1:7" ht="13.5" thickBot="1">
      <c r="A35" s="246" t="s">
        <v>97</v>
      </c>
      <c r="B35" s="247" t="s">
        <v>43</v>
      </c>
      <c r="C35" s="410">
        <v>0</v>
      </c>
      <c r="D35" s="622">
        <v>0</v>
      </c>
      <c r="E35" s="622">
        <v>0</v>
      </c>
      <c r="F35" s="623"/>
      <c r="G35" s="619">
        <v>0</v>
      </c>
    </row>
    <row r="36" spans="1:7" ht="13.5" thickBot="1">
      <c r="A36" s="239" t="s">
        <v>6</v>
      </c>
      <c r="B36" s="275" t="s">
        <v>246</v>
      </c>
      <c r="C36" s="412"/>
      <c r="D36" s="294"/>
      <c r="E36" s="294"/>
      <c r="F36" s="274"/>
      <c r="G36" s="618"/>
    </row>
    <row r="37" spans="1:7" ht="13.5" thickBot="1">
      <c r="A37" s="239" t="s">
        <v>7</v>
      </c>
      <c r="B37" s="272" t="s">
        <v>234</v>
      </c>
      <c r="C37" s="413"/>
      <c r="D37" s="273"/>
      <c r="E37" s="273"/>
      <c r="F37" s="274"/>
      <c r="G37" s="796"/>
    </row>
    <row r="38" spans="1:7" ht="26.25" thickBot="1">
      <c r="A38" s="239" t="s">
        <v>8</v>
      </c>
      <c r="B38" s="275" t="s">
        <v>247</v>
      </c>
      <c r="C38" s="250">
        <f>C24+C30+C33+C36+C37</f>
        <v>10058</v>
      </c>
      <c r="D38" s="276">
        <f>D24+D30+D33+D36+D37</f>
        <v>9302</v>
      </c>
      <c r="E38" s="276">
        <f>E24+E30+E33+E36+E37</f>
        <v>9482</v>
      </c>
      <c r="F38" s="276">
        <f>F24+F30+F33+F36+F37</f>
        <v>8672</v>
      </c>
      <c r="G38" s="617">
        <f>G24+G30+G33+G36+G37</f>
        <v>11678</v>
      </c>
    </row>
  </sheetData>
  <sheetProtection sheet="1"/>
  <mergeCells count="9">
    <mergeCell ref="E3:F3"/>
    <mergeCell ref="A4:A5"/>
    <mergeCell ref="B4:B5"/>
    <mergeCell ref="C4:G4"/>
    <mergeCell ref="A19:F19"/>
    <mergeCell ref="E20:F20"/>
    <mergeCell ref="A21:A22"/>
    <mergeCell ref="B21:B22"/>
    <mergeCell ref="C21:G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&amp;CA Falu Tamás Könyvtár
2008. ÉVI KÖLTSÉGVETÉSÉNEK PÉNZÜGYI MÉRLEGE&amp;R6.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="90" zoomScaleNormal="90" zoomScalePageLayoutView="0" workbookViewId="0" topLeftCell="A49">
      <selection activeCell="G59" sqref="G59"/>
    </sheetView>
  </sheetViews>
  <sheetFormatPr defaultColWidth="9.00390625" defaultRowHeight="12.75"/>
  <cols>
    <col min="1" max="1" width="10.625" style="91" customWidth="1"/>
    <col min="2" max="2" width="68.875" style="91" customWidth="1"/>
    <col min="3" max="3" width="18.50390625" style="91" customWidth="1"/>
    <col min="4" max="4" width="23.625" style="91" customWidth="1"/>
    <col min="5" max="5" width="15.625" style="91" customWidth="1"/>
    <col min="6" max="6" width="16.00390625" style="91" customWidth="1"/>
    <col min="7" max="7" width="16.625" style="91" customWidth="1"/>
    <col min="8" max="8" width="17.875" style="91" customWidth="1"/>
    <col min="9" max="16384" width="9.375" style="91" customWidth="1"/>
  </cols>
  <sheetData>
    <row r="1" ht="18.75">
      <c r="B1" s="811" t="s">
        <v>476</v>
      </c>
    </row>
    <row r="2" ht="18.75">
      <c r="B2" s="811"/>
    </row>
    <row r="3" ht="13.5" thickBot="1">
      <c r="D3" s="91" t="s">
        <v>477</v>
      </c>
    </row>
    <row r="4" spans="1:4" ht="12.75">
      <c r="A4" s="995" t="s">
        <v>406</v>
      </c>
      <c r="B4" s="995" t="s">
        <v>48</v>
      </c>
      <c r="C4" s="995" t="s">
        <v>402</v>
      </c>
      <c r="D4" s="995" t="s">
        <v>403</v>
      </c>
    </row>
    <row r="5" spans="1:4" ht="13.5" thickBot="1">
      <c r="A5" s="996"/>
      <c r="B5" s="996"/>
      <c r="C5" s="996"/>
      <c r="D5" s="996"/>
    </row>
    <row r="6" spans="1:4" ht="16.5" thickBot="1">
      <c r="A6" s="654" t="s">
        <v>437</v>
      </c>
      <c r="B6" s="655" t="s">
        <v>443</v>
      </c>
      <c r="C6" s="655"/>
      <c r="D6" s="656">
        <f>D8+D12+D14</f>
        <v>28598760</v>
      </c>
    </row>
    <row r="7" spans="1:4" ht="15.75">
      <c r="A7" s="660"/>
      <c r="B7" s="652"/>
      <c r="C7" s="652"/>
      <c r="D7" s="653"/>
    </row>
    <row r="8" spans="1:4" ht="15.75">
      <c r="A8" s="668">
        <v>1</v>
      </c>
      <c r="B8" s="640" t="s">
        <v>407</v>
      </c>
      <c r="C8" s="641"/>
      <c r="D8" s="642">
        <f>D9+D10</f>
        <v>17440815</v>
      </c>
    </row>
    <row r="9" spans="1:4" ht="15.75">
      <c r="A9" s="668">
        <v>1.1</v>
      </c>
      <c r="B9" s="643" t="s">
        <v>404</v>
      </c>
      <c r="C9" s="644">
        <v>1430</v>
      </c>
      <c r="D9" s="645">
        <v>12822810</v>
      </c>
    </row>
    <row r="10" spans="1:4" ht="15.75">
      <c r="A10" s="668">
        <v>1.2</v>
      </c>
      <c r="B10" s="643" t="s">
        <v>405</v>
      </c>
      <c r="C10" s="644">
        <v>515</v>
      </c>
      <c r="D10" s="645">
        <v>4618005</v>
      </c>
    </row>
    <row r="11" spans="1:4" ht="15.75">
      <c r="A11" s="668"/>
      <c r="B11" s="640"/>
      <c r="C11" s="641"/>
      <c r="D11" s="642"/>
    </row>
    <row r="12" spans="1:4" ht="15.75">
      <c r="A12" s="668">
        <v>2</v>
      </c>
      <c r="B12" s="640" t="s">
        <v>408</v>
      </c>
      <c r="C12" s="641">
        <v>3800</v>
      </c>
      <c r="D12" s="642">
        <v>980400</v>
      </c>
    </row>
    <row r="13" spans="1:4" ht="15.75">
      <c r="A13" s="668"/>
      <c r="B13" s="640"/>
      <c r="C13" s="641"/>
      <c r="D13" s="642"/>
    </row>
    <row r="14" spans="1:4" ht="15.75">
      <c r="A14" s="668">
        <v>3</v>
      </c>
      <c r="B14" s="640" t="s">
        <v>409</v>
      </c>
      <c r="C14" s="641"/>
      <c r="D14" s="642">
        <f>D15</f>
        <v>10177545</v>
      </c>
    </row>
    <row r="15" spans="1:4" ht="15.75">
      <c r="A15" s="668">
        <v>3.1</v>
      </c>
      <c r="B15" s="643" t="s">
        <v>410</v>
      </c>
      <c r="C15" s="644">
        <v>1135</v>
      </c>
      <c r="D15" s="645">
        <v>10177545</v>
      </c>
    </row>
    <row r="16" spans="1:4" ht="16.5" thickBot="1">
      <c r="A16" s="669"/>
      <c r="B16" s="657"/>
      <c r="C16" s="658"/>
      <c r="D16" s="659"/>
    </row>
    <row r="17" spans="1:4" ht="16.5" thickBot="1">
      <c r="A17" s="670" t="s">
        <v>438</v>
      </c>
      <c r="B17" s="655" t="s">
        <v>414</v>
      </c>
      <c r="C17" s="663"/>
      <c r="D17" s="656">
        <f>D19+D21</f>
        <v>49163915</v>
      </c>
    </row>
    <row r="18" spans="1:4" ht="15.75">
      <c r="A18" s="671"/>
      <c r="B18" s="652"/>
      <c r="C18" s="661"/>
      <c r="D18" s="662"/>
    </row>
    <row r="19" spans="1:4" ht="15.75">
      <c r="A19" s="668">
        <v>1</v>
      </c>
      <c r="B19" s="640" t="s">
        <v>415</v>
      </c>
      <c r="C19" s="641"/>
      <c r="D19" s="642">
        <v>47031915</v>
      </c>
    </row>
    <row r="20" spans="1:4" ht="15.75">
      <c r="A20" s="668"/>
      <c r="B20" s="640"/>
      <c r="C20" s="641"/>
      <c r="D20" s="642"/>
    </row>
    <row r="21" spans="1:4" ht="15.75">
      <c r="A21" s="668">
        <v>2</v>
      </c>
      <c r="B21" s="640" t="s">
        <v>416</v>
      </c>
      <c r="C21" s="641"/>
      <c r="D21" s="642">
        <f>D22</f>
        <v>2132000</v>
      </c>
    </row>
    <row r="22" spans="1:4" ht="15.75">
      <c r="A22" s="668">
        <v>2.1</v>
      </c>
      <c r="B22" s="643" t="s">
        <v>417</v>
      </c>
      <c r="C22" s="644">
        <v>82000</v>
      </c>
      <c r="D22" s="645">
        <v>2132000</v>
      </c>
    </row>
    <row r="23" spans="1:4" ht="16.5" thickBot="1">
      <c r="A23" s="669"/>
      <c r="B23" s="657"/>
      <c r="C23" s="658"/>
      <c r="D23" s="659"/>
    </row>
    <row r="24" spans="1:4" ht="16.5" thickBot="1">
      <c r="A24" s="670" t="s">
        <v>439</v>
      </c>
      <c r="B24" s="655" t="s">
        <v>420</v>
      </c>
      <c r="C24" s="663"/>
      <c r="D24" s="656">
        <f>D26</f>
        <v>6828926</v>
      </c>
    </row>
    <row r="25" spans="1:4" ht="15.75">
      <c r="A25" s="671"/>
      <c r="B25" s="652"/>
      <c r="C25" s="661"/>
      <c r="D25" s="662"/>
    </row>
    <row r="26" spans="1:4" ht="15.75">
      <c r="A26" s="668">
        <v>1</v>
      </c>
      <c r="B26" s="640" t="s">
        <v>418</v>
      </c>
      <c r="C26" s="641"/>
      <c r="D26" s="642">
        <f>D27</f>
        <v>6828926</v>
      </c>
    </row>
    <row r="27" spans="1:4" ht="31.5">
      <c r="A27" s="668">
        <v>1.1</v>
      </c>
      <c r="B27" s="646" t="s">
        <v>419</v>
      </c>
      <c r="C27" s="644"/>
      <c r="D27" s="645">
        <v>6828926</v>
      </c>
    </row>
    <row r="28" spans="1:4" ht="16.5" thickBot="1">
      <c r="A28" s="669"/>
      <c r="B28" s="657"/>
      <c r="C28" s="658"/>
      <c r="D28" s="659"/>
    </row>
    <row r="29" spans="1:4" ht="16.5" thickBot="1">
      <c r="A29" s="670" t="s">
        <v>440</v>
      </c>
      <c r="B29" s="655" t="s">
        <v>421</v>
      </c>
      <c r="C29" s="663"/>
      <c r="D29" s="656">
        <f>D31+D37+D44+D48+D52</f>
        <v>244573967</v>
      </c>
    </row>
    <row r="30" spans="1:4" ht="15.75">
      <c r="A30" s="671"/>
      <c r="B30" s="652"/>
      <c r="C30" s="661"/>
      <c r="D30" s="662"/>
    </row>
    <row r="31" spans="1:4" ht="15.75">
      <c r="A31" s="668">
        <v>1</v>
      </c>
      <c r="B31" s="640" t="s">
        <v>422</v>
      </c>
      <c r="C31" s="641"/>
      <c r="D31" s="642">
        <f>SUM(D32:D35)</f>
        <v>65122000</v>
      </c>
    </row>
    <row r="32" spans="1:4" ht="15.75">
      <c r="A32" s="668">
        <v>1.2</v>
      </c>
      <c r="B32" s="643" t="s">
        <v>423</v>
      </c>
      <c r="C32" s="644">
        <v>2550000</v>
      </c>
      <c r="D32" s="645">
        <v>41990000</v>
      </c>
    </row>
    <row r="33" spans="1:4" ht="15.75">
      <c r="A33" s="668">
        <v>1.3</v>
      </c>
      <c r="B33" s="643" t="s">
        <v>424</v>
      </c>
      <c r="C33" s="644">
        <v>2550000</v>
      </c>
      <c r="D33" s="645">
        <v>21760000</v>
      </c>
    </row>
    <row r="34" spans="1:4" ht="15.75">
      <c r="A34" s="668">
        <v>1.4</v>
      </c>
      <c r="B34" s="643" t="s">
        <v>427</v>
      </c>
      <c r="C34" s="644">
        <v>645000</v>
      </c>
      <c r="D34" s="645">
        <v>860000</v>
      </c>
    </row>
    <row r="35" spans="1:4" ht="31.5">
      <c r="A35" s="668">
        <v>1.5</v>
      </c>
      <c r="B35" s="646" t="s">
        <v>429</v>
      </c>
      <c r="C35" s="647"/>
      <c r="D35" s="648">
        <v>512000</v>
      </c>
    </row>
    <row r="36" spans="1:4" ht="15.75">
      <c r="A36" s="668"/>
      <c r="B36" s="646"/>
      <c r="C36" s="647"/>
      <c r="D36" s="649"/>
    </row>
    <row r="37" spans="1:4" ht="15.75">
      <c r="A37" s="668">
        <v>2</v>
      </c>
      <c r="B37" s="640" t="s">
        <v>425</v>
      </c>
      <c r="C37" s="641"/>
      <c r="D37" s="642">
        <f>SUM(D38:D42)</f>
        <v>158006667</v>
      </c>
    </row>
    <row r="38" spans="1:4" ht="15.75">
      <c r="A38" s="668">
        <v>2.1</v>
      </c>
      <c r="B38" s="643" t="s">
        <v>426</v>
      </c>
      <c r="C38" s="644">
        <v>2550000</v>
      </c>
      <c r="D38" s="645">
        <v>97410000</v>
      </c>
    </row>
    <row r="39" spans="1:4" ht="15.75">
      <c r="A39" s="668">
        <v>2.2</v>
      </c>
      <c r="B39" s="643" t="s">
        <v>424</v>
      </c>
      <c r="C39" s="644">
        <v>2550000</v>
      </c>
      <c r="D39" s="645">
        <v>45050000</v>
      </c>
    </row>
    <row r="40" spans="1:4" ht="15.75">
      <c r="A40" s="668">
        <v>2.3</v>
      </c>
      <c r="B40" s="643" t="s">
        <v>428</v>
      </c>
      <c r="C40" s="644"/>
      <c r="D40" s="645">
        <v>6426667</v>
      </c>
    </row>
    <row r="41" spans="1:4" ht="31.5">
      <c r="A41" s="668">
        <v>2.4</v>
      </c>
      <c r="B41" s="646" t="s">
        <v>430</v>
      </c>
      <c r="C41" s="644"/>
      <c r="D41" s="645">
        <v>3360000</v>
      </c>
    </row>
    <row r="42" spans="1:4" ht="15.75">
      <c r="A42" s="668">
        <v>2.5</v>
      </c>
      <c r="B42" s="646" t="s">
        <v>431</v>
      </c>
      <c r="C42" s="644"/>
      <c r="D42" s="645">
        <v>5760000</v>
      </c>
    </row>
    <row r="43" spans="1:4" ht="15.75">
      <c r="A43" s="668"/>
      <c r="B43" s="646"/>
      <c r="C43" s="641"/>
      <c r="D43" s="642"/>
    </row>
    <row r="44" spans="1:4" ht="15.75">
      <c r="A44" s="668">
        <v>3</v>
      </c>
      <c r="B44" s="650" t="s">
        <v>432</v>
      </c>
      <c r="C44" s="641"/>
      <c r="D44" s="642">
        <f>SUM(D45:D46)</f>
        <v>16628000</v>
      </c>
    </row>
    <row r="45" spans="1:4" ht="15.75">
      <c r="A45" s="668">
        <v>3.1</v>
      </c>
      <c r="B45" s="646" t="s">
        <v>423</v>
      </c>
      <c r="C45" s="641"/>
      <c r="D45" s="642">
        <v>11000000</v>
      </c>
    </row>
    <row r="46" spans="1:4" ht="15.75">
      <c r="A46" s="668">
        <v>3.2</v>
      </c>
      <c r="B46" s="646" t="s">
        <v>424</v>
      </c>
      <c r="C46" s="641"/>
      <c r="D46" s="642">
        <v>5628000</v>
      </c>
    </row>
    <row r="47" spans="1:4" ht="15.75">
      <c r="A47" s="668"/>
      <c r="B47" s="646"/>
      <c r="C47" s="641"/>
      <c r="D47" s="642"/>
    </row>
    <row r="48" spans="1:4" ht="15.75">
      <c r="A48" s="668">
        <v>4</v>
      </c>
      <c r="B48" s="650" t="s">
        <v>433</v>
      </c>
      <c r="C48" s="641"/>
      <c r="D48" s="642">
        <f>SUM(D49:D50)</f>
        <v>3776000</v>
      </c>
    </row>
    <row r="49" spans="1:4" ht="15.75">
      <c r="A49" s="668">
        <v>4.1</v>
      </c>
      <c r="B49" s="646" t="s">
        <v>434</v>
      </c>
      <c r="C49" s="641">
        <v>10000</v>
      </c>
      <c r="D49" s="642">
        <v>3050000</v>
      </c>
    </row>
    <row r="50" spans="1:4" ht="15.75">
      <c r="A50" s="668">
        <v>4.2</v>
      </c>
      <c r="B50" s="646" t="s">
        <v>435</v>
      </c>
      <c r="C50" s="641">
        <v>1000</v>
      </c>
      <c r="D50" s="642">
        <v>726000</v>
      </c>
    </row>
    <row r="51" spans="1:4" ht="15.75">
      <c r="A51" s="668"/>
      <c r="B51" s="646"/>
      <c r="C51" s="641"/>
      <c r="D51" s="642"/>
    </row>
    <row r="52" spans="1:4" ht="15.75">
      <c r="A52" s="668">
        <v>5</v>
      </c>
      <c r="B52" s="650" t="s">
        <v>436</v>
      </c>
      <c r="C52" s="641">
        <v>11700</v>
      </c>
      <c r="D52" s="642">
        <v>1041300</v>
      </c>
    </row>
    <row r="53" spans="1:4" ht="16.5" thickBot="1">
      <c r="A53" s="669"/>
      <c r="B53" s="664"/>
      <c r="C53" s="658"/>
      <c r="D53" s="659"/>
    </row>
    <row r="54" spans="1:4" ht="16.5" thickBot="1">
      <c r="A54" s="670" t="s">
        <v>441</v>
      </c>
      <c r="B54" s="655" t="s">
        <v>411</v>
      </c>
      <c r="C54" s="663"/>
      <c r="D54" s="656">
        <f>SUM(D55:D56)</f>
        <v>192471650</v>
      </c>
    </row>
    <row r="55" spans="1:4" ht="15.75">
      <c r="A55" s="671"/>
      <c r="B55" s="665" t="s">
        <v>412</v>
      </c>
      <c r="C55" s="661"/>
      <c r="D55" s="662">
        <v>78244100</v>
      </c>
    </row>
    <row r="56" spans="1:4" ht="15.75">
      <c r="A56" s="668"/>
      <c r="B56" s="651" t="s">
        <v>413</v>
      </c>
      <c r="C56" s="641"/>
      <c r="D56" s="642">
        <v>114227550</v>
      </c>
    </row>
    <row r="57" spans="1:4" ht="13.5" thickBot="1">
      <c r="A57" s="672"/>
      <c r="B57" s="666"/>
      <c r="C57" s="666"/>
      <c r="D57" s="667"/>
    </row>
    <row r="58" spans="1:4" ht="16.5" thickBot="1">
      <c r="A58" s="670" t="s">
        <v>442</v>
      </c>
      <c r="B58" s="655" t="s">
        <v>35</v>
      </c>
      <c r="C58" s="655"/>
      <c r="D58" s="656">
        <f>D6+D17+D24+D29+D54</f>
        <v>521637218</v>
      </c>
    </row>
  </sheetData>
  <sheetProtection sheet="1"/>
  <mergeCells count="4">
    <mergeCell ref="B4:B5"/>
    <mergeCell ref="C4:C5"/>
    <mergeCell ref="D4:D5"/>
    <mergeCell ref="A4:A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2" r:id="rId1"/>
  <headerFooter alignWithMargins="0">
    <oddHeader xml:space="preserve">&amp;R&amp;"Times New Roman CE,Félkövér dőlt"&amp;11 7.sz. melléklet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Ócsa Város Önkormányzat</cp:lastModifiedBy>
  <cp:lastPrinted>2008-07-31T06:47:14Z</cp:lastPrinted>
  <dcterms:created xsi:type="dcterms:W3CDTF">1999-10-30T10:30:45Z</dcterms:created>
  <dcterms:modified xsi:type="dcterms:W3CDTF">2008-07-31T06:48:08Z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